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66" yWindow="65266" windowWidth="13335" windowHeight="9240" tabRatio="427" activeTab="1"/>
  </bookViews>
  <sheets>
    <sheet name="正規分布近似" sheetId="1" r:id="rId1"/>
    <sheet name="F分布使用" sheetId="2" r:id="rId2"/>
  </sheets>
  <definedNames>
    <definedName name="_xlfn.F.INV" hidden="1">#NAME?</definedName>
    <definedName name="_xlfn.NORM.S.INV" hidden="1">#NAME?</definedName>
    <definedName name="_xlnm.Print_Area" localSheetId="1">'F分布使用'!$A$57:$E$73</definedName>
    <definedName name="_xlnm.Print_Area" localSheetId="0">'正規分布近似'!$A$61:$E$77</definedName>
  </definedNames>
  <calcPr fullCalcOnLoad="1"/>
</workbook>
</file>

<file path=xl/sharedStrings.xml><?xml version="1.0" encoding="utf-8"?>
<sst xmlns="http://schemas.openxmlformats.org/spreadsheetml/2006/main" count="98" uniqueCount="86">
  <si>
    <t>sensitivity</t>
  </si>
  <si>
    <t>specificity</t>
  </si>
  <si>
    <t>likelihood ratio of a positive test</t>
  </si>
  <si>
    <t>likelihood ratio of a negative test</t>
  </si>
  <si>
    <t>positive predictive value</t>
  </si>
  <si>
    <t>negative predictive value</t>
  </si>
  <si>
    <t>指標</t>
  </si>
  <si>
    <t>下側（95% CI）</t>
  </si>
  <si>
    <t>上側（95% CI）</t>
  </si>
  <si>
    <t>計</t>
  </si>
  <si>
    <t>項　目</t>
  </si>
  <si>
    <t>True [Absent]</t>
  </si>
  <si>
    <t>True [Present]</t>
  </si>
  <si>
    <t>Predicted [Test negative]</t>
  </si>
  <si>
    <t>Predicted [Test positive]</t>
  </si>
  <si>
    <t>specificity/sensitivity</t>
  </si>
  <si>
    <t>z</t>
  </si>
  <si>
    <t>z^2</t>
  </si>
  <si>
    <t>1-p</t>
  </si>
  <si>
    <t>2*(n+z^2)</t>
  </si>
  <si>
    <t>Lnum</t>
  </si>
  <si>
    <t>Unum</t>
  </si>
  <si>
    <t>FN/FP</t>
  </si>
  <si>
    <t>NPV/PPV</t>
  </si>
  <si>
    <t>false positive</t>
  </si>
  <si>
    <t>false negative</t>
  </si>
  <si>
    <t>false positive rate</t>
  </si>
  <si>
    <t>false negative rate</t>
  </si>
  <si>
    <t>FPR/FNR</t>
  </si>
  <si>
    <t>Log(p)</t>
  </si>
  <si>
    <t>Log(n)</t>
  </si>
  <si>
    <t>Xp</t>
  </si>
  <si>
    <t>Xn</t>
  </si>
  <si>
    <t>（緑色セルに入力）</t>
  </si>
  <si>
    <t>　正規分布近似の方法</t>
  </si>
  <si>
    <t>　F分布を用いる方法</t>
  </si>
  <si>
    <t>no Disease</t>
  </si>
  <si>
    <t>Disease</t>
  </si>
  <si>
    <t>True [Absent]</t>
  </si>
  <si>
    <t>True [Present]</t>
  </si>
  <si>
    <t>FN/FP</t>
  </si>
  <si>
    <t>NPV/PPV</t>
  </si>
  <si>
    <t>Predicted [Test negative]</t>
  </si>
  <si>
    <t>Predicted [Test positive]</t>
  </si>
  <si>
    <t>specificity/sensitivity</t>
  </si>
  <si>
    <t>Conf. interval</t>
  </si>
  <si>
    <t>FPR/FNR</t>
  </si>
  <si>
    <t>alpha</t>
  </si>
  <si>
    <t>Prevalence</t>
  </si>
  <si>
    <t>L_F.INV</t>
  </si>
  <si>
    <t>1/L_F.INV</t>
  </si>
  <si>
    <t>L_Bunsi</t>
  </si>
  <si>
    <t>L_Bunbo</t>
  </si>
  <si>
    <t>U_F.INV</t>
  </si>
  <si>
    <t>1/U_F.INV</t>
  </si>
  <si>
    <t>U_Bunsi</t>
  </si>
  <si>
    <t>U_Bunbo</t>
  </si>
  <si>
    <t>sensitivity</t>
  </si>
  <si>
    <t>specificity</t>
  </si>
  <si>
    <t>false positive</t>
  </si>
  <si>
    <t>false negative</t>
  </si>
  <si>
    <t>positive predictive value</t>
  </si>
  <si>
    <t>negative predictive value</t>
  </si>
  <si>
    <t>false positive rate</t>
  </si>
  <si>
    <t>false negative rate</t>
  </si>
  <si>
    <t>likelihood ratio of a positive test</t>
  </si>
  <si>
    <t>Log(p)</t>
  </si>
  <si>
    <t>Log(n)</t>
  </si>
  <si>
    <t>Xp</t>
  </si>
  <si>
    <t>Xn</t>
  </si>
  <si>
    <t>likelihood ratio of a negative test</t>
  </si>
  <si>
    <t>　引用：</t>
  </si>
  <si>
    <t>　杉本典夫　著</t>
  </si>
  <si>
    <t>　医学・薬学・生命科学を学ぶ人のための統計学入門―基礎の基礎からデータ解析の実際まで</t>
  </si>
  <si>
    <t>　http://www.snap-tck.com/room04/c01/stat/stat09/stat0902.html</t>
  </si>
  <si>
    <t>　正確な陽性予測値（PPV）と陰性予測値（NPV）を求めるためには、一般的な有病率の値が必要です。</t>
  </si>
  <si>
    <t>　上記の 著書（URL） に詳しい説明が載っていますので参考にして下さい。</t>
  </si>
  <si>
    <t>　正確な95％信頼限界の計算はSheet名「F分布使用」を用いて下さい．</t>
  </si>
  <si>
    <t>　ここでの95％信頼限界は正規分布近似式を用いています。</t>
  </si>
  <si>
    <t>←事前確率の入力</t>
  </si>
  <si>
    <t>Var</t>
  </si>
  <si>
    <t>log_PPV</t>
  </si>
  <si>
    <t>Lower_CI</t>
  </si>
  <si>
    <t>Upper_CI</t>
  </si>
  <si>
    <t>log_NPV</t>
  </si>
  <si>
    <t>　事前確率（至適基準）を入力するとPPV（NPV）が変化します．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</si>
</sst>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Osaka"/>
      <family val="1"/>
    </font>
    <font>
      <sz val="10"/>
      <color indexed="8"/>
      <name val="ＭＳ Ｐゴシック"/>
      <family val="3"/>
    </font>
    <font>
      <sz val="6"/>
      <name val="Osaka"/>
      <family val="1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14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2"/>
      <name val="Cambria"/>
      <family val="3"/>
    </font>
    <font>
      <sz val="14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0"/>
      <color rgb="FF000000"/>
      <name val="ＭＳ Ｐゴシック"/>
      <family val="3"/>
    </font>
    <font>
      <sz val="10"/>
      <color rgb="FFFF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right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40" fillId="33" borderId="11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10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2" fillId="34" borderId="0" xfId="0" applyFont="1" applyFill="1" applyAlignment="1">
      <alignment horizontal="center" vertical="center"/>
    </xf>
    <xf numFmtId="0" fontId="40" fillId="0" borderId="27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right"/>
    </xf>
    <xf numFmtId="0" fontId="40" fillId="0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NumberFormat="1" applyFont="1" applyBorder="1" applyAlignment="1">
      <alignment horizontal="left"/>
    </xf>
    <xf numFmtId="0" fontId="45" fillId="0" borderId="0" xfId="0" applyFont="1" applyAlignment="1">
      <alignment/>
    </xf>
    <xf numFmtId="0" fontId="40" fillId="0" borderId="0" xfId="0" applyNumberFormat="1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0" xfId="0" applyFont="1" applyFill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7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5" xfId="0" applyFont="1" applyFill="1" applyBorder="1" applyAlignment="1">
      <alignment/>
    </xf>
    <xf numFmtId="0" fontId="40" fillId="0" borderId="25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3" xfId="0" applyFont="1" applyFill="1" applyBorder="1" applyAlignment="1">
      <alignment/>
    </xf>
    <xf numFmtId="0" fontId="40" fillId="0" borderId="31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1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40" fillId="34" borderId="0" xfId="0" applyFont="1" applyFill="1" applyBorder="1" applyAlignment="1">
      <alignment/>
    </xf>
    <xf numFmtId="0" fontId="42" fillId="34" borderId="0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40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25" sqref="I25"/>
    </sheetView>
  </sheetViews>
  <sheetFormatPr defaultColWidth="13" defaultRowHeight="15"/>
  <cols>
    <col min="1" max="1" width="30.8984375" style="1" customWidth="1"/>
    <col min="2" max="3" width="14.59765625" style="1" customWidth="1"/>
    <col min="4" max="4" width="18.8984375" style="1" customWidth="1"/>
    <col min="5" max="6" width="10.8984375" style="1" customWidth="1"/>
    <col min="7" max="9" width="7" style="1" customWidth="1"/>
    <col min="10" max="10" width="9.3984375" style="1" customWidth="1"/>
    <col min="11" max="16384" width="13" style="1" customWidth="1"/>
  </cols>
  <sheetData>
    <row r="1" spans="1:5" ht="24.75" customHeight="1">
      <c r="A1" s="29" t="s">
        <v>34</v>
      </c>
      <c r="B1" s="44" t="s">
        <v>33</v>
      </c>
      <c r="C1" s="30"/>
      <c r="D1" s="30"/>
      <c r="E1" s="30"/>
    </row>
    <row r="2" ht="15" thickBot="1"/>
    <row r="3" spans="1:6" ht="15" thickBot="1">
      <c r="A3" s="4"/>
      <c r="B3" s="10" t="s">
        <v>11</v>
      </c>
      <c r="C3" s="10" t="s">
        <v>12</v>
      </c>
      <c r="D3" s="20" t="s">
        <v>9</v>
      </c>
      <c r="E3" s="6" t="s">
        <v>22</v>
      </c>
      <c r="F3" s="5" t="s">
        <v>23</v>
      </c>
    </row>
    <row r="4" spans="1:6" ht="14.25">
      <c r="A4" s="11" t="s">
        <v>13</v>
      </c>
      <c r="B4" s="24">
        <v>9</v>
      </c>
      <c r="C4" s="24">
        <v>3</v>
      </c>
      <c r="D4" s="23">
        <f>B4+C4</f>
        <v>12</v>
      </c>
      <c r="E4" s="5">
        <f>C4/D4</f>
        <v>0.25</v>
      </c>
      <c r="F4" s="5">
        <f>B4/D4</f>
        <v>0.75</v>
      </c>
    </row>
    <row r="5" spans="1:6" ht="15" thickBot="1">
      <c r="A5" s="12" t="s">
        <v>14</v>
      </c>
      <c r="B5" s="25">
        <v>5</v>
      </c>
      <c r="C5" s="25">
        <v>29</v>
      </c>
      <c r="D5" s="23">
        <f>B5+C5</f>
        <v>34</v>
      </c>
      <c r="E5" s="5">
        <f>B5/D5</f>
        <v>0.14705882352941177</v>
      </c>
      <c r="F5" s="5">
        <f>C5/D5</f>
        <v>0.8529411764705882</v>
      </c>
    </row>
    <row r="6" spans="1:5" ht="19.5" customHeight="1">
      <c r="A6" s="8" t="s">
        <v>9</v>
      </c>
      <c r="B6" s="19">
        <f>B4+B5</f>
        <v>14</v>
      </c>
      <c r="C6" s="19">
        <f>C4+C5</f>
        <v>32</v>
      </c>
      <c r="D6" s="21">
        <f>D4+D5</f>
        <v>46</v>
      </c>
      <c r="E6" s="22"/>
    </row>
    <row r="7" spans="1:5" ht="14.25">
      <c r="A7" s="6" t="s">
        <v>15</v>
      </c>
      <c r="B7" s="5">
        <f>B4/B6</f>
        <v>0.6428571428571429</v>
      </c>
      <c r="C7" s="5">
        <f>C5/C6</f>
        <v>0.90625</v>
      </c>
      <c r="E7" s="2"/>
    </row>
    <row r="8" spans="1:5" ht="14.25">
      <c r="A8" s="6" t="s">
        <v>28</v>
      </c>
      <c r="B8" s="5">
        <f>B5/B6</f>
        <v>0.35714285714285715</v>
      </c>
      <c r="C8" s="5">
        <f>C4/C6</f>
        <v>0.09375</v>
      </c>
      <c r="E8" s="2"/>
    </row>
    <row r="9" spans="1:3" ht="14.25">
      <c r="A9" s="6" t="s">
        <v>48</v>
      </c>
      <c r="B9" s="5">
        <f>ROUND(C6/D6,4)</f>
        <v>0.6957</v>
      </c>
      <c r="C9" s="64"/>
    </row>
    <row r="10" spans="1:10" ht="15" thickBot="1">
      <c r="A10" s="15" t="s">
        <v>10</v>
      </c>
      <c r="B10" s="9" t="s">
        <v>6</v>
      </c>
      <c r="C10" s="9" t="s">
        <v>7</v>
      </c>
      <c r="D10" s="9" t="s">
        <v>8</v>
      </c>
      <c r="E10" s="35" t="s">
        <v>16</v>
      </c>
      <c r="F10" s="36" t="s">
        <v>17</v>
      </c>
      <c r="G10" s="36" t="s">
        <v>18</v>
      </c>
      <c r="H10" s="36" t="s">
        <v>20</v>
      </c>
      <c r="I10" s="37" t="s">
        <v>21</v>
      </c>
      <c r="J10" s="38" t="s">
        <v>19</v>
      </c>
    </row>
    <row r="11" spans="1:10" ht="14.25">
      <c r="A11" s="13" t="s">
        <v>0</v>
      </c>
      <c r="B11" s="17">
        <f>ROUND(C7,4)</f>
        <v>0.9063</v>
      </c>
      <c r="C11" s="14">
        <f>ROUND(H11/J11,3)</f>
        <v>0.738</v>
      </c>
      <c r="D11" s="14">
        <f>ROUND(I11/J11,3)</f>
        <v>0.975</v>
      </c>
      <c r="E11" s="22">
        <v>1.95996</v>
      </c>
      <c r="F11" s="4">
        <f aca="true" t="shared" si="0" ref="F11:F18">ROUND(E11^2,5)</f>
        <v>3.84144</v>
      </c>
      <c r="G11" s="4">
        <f>1-C7</f>
        <v>0.09375</v>
      </c>
      <c r="H11" s="2">
        <f>(2*C6*C7)+F11-1-(E11*SQRT(F11-2-(1/C6)+4*C7*((C6*G11)+1)))</f>
        <v>52.9259697996705</v>
      </c>
      <c r="I11" s="4">
        <f>(2*C6*C7)+F11+1+(E11*SQRT(F11+2-(1/C6)+4*C7*((C6*G11)-1)))</f>
        <v>69.92451687993744</v>
      </c>
      <c r="J11" s="32">
        <f>2*(C6+F11)</f>
        <v>71.68288</v>
      </c>
    </row>
    <row r="12" spans="1:10" ht="14.25">
      <c r="A12" s="7" t="s">
        <v>1</v>
      </c>
      <c r="B12" s="18">
        <f>ROUND(B7,4)</f>
        <v>0.6429</v>
      </c>
      <c r="C12" s="5">
        <f>ROUND(H12/J12,3)</f>
        <v>0.356</v>
      </c>
      <c r="D12" s="5">
        <f>ROUND(I12/J12,3)</f>
        <v>0.86</v>
      </c>
      <c r="E12" s="22">
        <v>1.95996</v>
      </c>
      <c r="F12" s="4">
        <f t="shared" si="0"/>
        <v>3.84144</v>
      </c>
      <c r="G12" s="2">
        <f>1-B7</f>
        <v>0.3571428571428571</v>
      </c>
      <c r="H12" s="2">
        <f>(2*B6*B7)+F12-1-(E12*SQRT(F12-2-(1/B6)+4*B7*((B6*G12)+1)))</f>
        <v>12.713255750505791</v>
      </c>
      <c r="I12" s="2">
        <f>(2*B6*B7)+F12+1+(E12*SQRT(F12+2-(1/B6)+4*B7*((B6*G12)-1)))</f>
        <v>30.694920654582216</v>
      </c>
      <c r="J12" s="33">
        <f>2*(B6+F12)</f>
        <v>35.68288</v>
      </c>
    </row>
    <row r="13" spans="1:10" ht="14.25">
      <c r="A13" s="7" t="s">
        <v>24</v>
      </c>
      <c r="B13" s="18">
        <f>ROUND(E5,4)</f>
        <v>0.1471</v>
      </c>
      <c r="C13" s="5">
        <f aca="true" t="shared" si="1" ref="C13:C18">ROUND(H13/J13,4)</f>
        <v>0.0554</v>
      </c>
      <c r="D13" s="5">
        <f aca="true" t="shared" si="2" ref="D13:D18">ROUND(I13/J13,4)</f>
        <v>0.3183</v>
      </c>
      <c r="E13" s="22">
        <v>1.95996</v>
      </c>
      <c r="F13" s="4">
        <f t="shared" si="0"/>
        <v>3.84144</v>
      </c>
      <c r="G13" s="2">
        <f>1-E5</f>
        <v>0.8529411764705882</v>
      </c>
      <c r="H13" s="2">
        <f>(2*D5*E5)+F13-1-(E13*SQRT(F13-2-(1/D5)+4*E5*((D5*G13)+1)))</f>
        <v>4.195575225932563</v>
      </c>
      <c r="I13" s="2">
        <f>(2*D5*E5)+F13+1+(E13*SQRT(F13+2-(1/D5)+4*E5*((D5*G13)-1)))</f>
        <v>24.093326594354764</v>
      </c>
      <c r="J13" s="33">
        <f>2*(D5+F13)</f>
        <v>75.68288</v>
      </c>
    </row>
    <row r="14" spans="1:10" ht="14.25">
      <c r="A14" s="7" t="s">
        <v>25</v>
      </c>
      <c r="B14" s="18">
        <f>ROUND(E4,4)</f>
        <v>0.25</v>
      </c>
      <c r="C14" s="5">
        <f t="shared" si="1"/>
        <v>0.0669</v>
      </c>
      <c r="D14" s="5">
        <f t="shared" si="2"/>
        <v>0.5716</v>
      </c>
      <c r="E14" s="22">
        <v>1.95996</v>
      </c>
      <c r="F14" s="4">
        <f t="shared" si="0"/>
        <v>3.84144</v>
      </c>
      <c r="G14" s="2">
        <f>1-E4</f>
        <v>0.75</v>
      </c>
      <c r="H14" s="2">
        <f>(2*D4*E4)+F14-1-(E14*SQRT(F14-2-(1/D4)+4*E4*((D4*G14)+1)))</f>
        <v>2.120718393032911</v>
      </c>
      <c r="I14" s="2">
        <f>(2*D4*E4)+F14+1+(E14*SQRT(F14+2-(1/D4)+4*E4*((D4*G14)-1)))</f>
        <v>18.111308315282905</v>
      </c>
      <c r="J14" s="33">
        <f>2*(D4+F14)</f>
        <v>31.68288</v>
      </c>
    </row>
    <row r="15" spans="1:10" ht="14.25">
      <c r="A15" s="7" t="s">
        <v>4</v>
      </c>
      <c r="B15" s="18">
        <f>ROUND(F5,4)</f>
        <v>0.8529</v>
      </c>
      <c r="C15" s="5">
        <f t="shared" si="1"/>
        <v>0.6817</v>
      </c>
      <c r="D15" s="5">
        <f t="shared" si="2"/>
        <v>0.9446</v>
      </c>
      <c r="E15" s="22">
        <v>1.95996</v>
      </c>
      <c r="F15" s="4">
        <f t="shared" si="0"/>
        <v>3.84144</v>
      </c>
      <c r="G15" s="2">
        <f>1-F5</f>
        <v>0.1470588235294118</v>
      </c>
      <c r="H15" s="2">
        <f>(2*D5*F5)+F15-1-(E15*SQRT(F15-2-(1/D5)+4*F5*((D5*G15)+1)))</f>
        <v>51.58955340564523</v>
      </c>
      <c r="I15" s="2">
        <f>(2*D5*F5)+F15+1+(E15*SQRT(F15+2-(1/D5)+4*F5*((D5*G15)-1)))</f>
        <v>71.48730477406744</v>
      </c>
      <c r="J15" s="33">
        <f>2*(D5+F15)</f>
        <v>75.68288</v>
      </c>
    </row>
    <row r="16" spans="1:10" ht="14.25">
      <c r="A16" s="7" t="s">
        <v>5</v>
      </c>
      <c r="B16" s="18">
        <f>ROUND(F4,4)</f>
        <v>0.75</v>
      </c>
      <c r="C16" s="5">
        <f t="shared" si="1"/>
        <v>0.4284</v>
      </c>
      <c r="D16" s="5">
        <f t="shared" si="2"/>
        <v>0.9331</v>
      </c>
      <c r="E16" s="22">
        <v>1.95996</v>
      </c>
      <c r="F16" s="4">
        <f t="shared" si="0"/>
        <v>3.84144</v>
      </c>
      <c r="G16" s="2">
        <f>1-F4</f>
        <v>0.25</v>
      </c>
      <c r="H16" s="2">
        <f>(2*D4*F4)+F16-1-(E16*SQRT(F16-2-(1/D4)+4*F4*((D4*G16)+1)))</f>
        <v>13.571571684717092</v>
      </c>
      <c r="I16" s="2">
        <f>(2*D4*F4)+F16+1+(E16*SQRT(F16+2-(1/D4)+4*F4*((D4*G16)-1)))</f>
        <v>29.562161606967088</v>
      </c>
      <c r="J16" s="33">
        <f>2*(D4+F16)</f>
        <v>31.68288</v>
      </c>
    </row>
    <row r="17" spans="1:10" ht="14.25">
      <c r="A17" s="7" t="s">
        <v>26</v>
      </c>
      <c r="B17" s="5">
        <f>ROUND(B8,4)</f>
        <v>0.3571</v>
      </c>
      <c r="C17" s="5">
        <f t="shared" si="1"/>
        <v>0.1062</v>
      </c>
      <c r="D17" s="5">
        <f t="shared" si="2"/>
        <v>0.6763</v>
      </c>
      <c r="E17" s="22">
        <v>1.95996</v>
      </c>
      <c r="F17" s="4">
        <f t="shared" si="0"/>
        <v>3.84144</v>
      </c>
      <c r="G17" s="2">
        <f>1-C8</f>
        <v>0.90625</v>
      </c>
      <c r="H17" s="2">
        <f>(2*B6*B8)+F17-1-(E17*SQRT(F17-2-(1/B6)+4*B8*((B6*G17)+1)))</f>
        <v>3.790841544631112</v>
      </c>
      <c r="I17" s="2">
        <f>(2*B6*B8)+F17+1+(E17*SQRT(F17+2-(1/B6)+4*B8*((B6*G17)-1)))</f>
        <v>24.131410570575255</v>
      </c>
      <c r="J17" s="33">
        <f>2*(B6+F17)</f>
        <v>35.68288</v>
      </c>
    </row>
    <row r="18" spans="1:10" ht="15" thickBot="1">
      <c r="A18" s="7" t="s">
        <v>27</v>
      </c>
      <c r="B18" s="5">
        <f>ROUND(C8,4)</f>
        <v>0.0938</v>
      </c>
      <c r="C18" s="5">
        <f t="shared" si="1"/>
        <v>0.0373</v>
      </c>
      <c r="D18" s="5">
        <f t="shared" si="2"/>
        <v>0.2504</v>
      </c>
      <c r="E18" s="22">
        <v>1.95996</v>
      </c>
      <c r="F18" s="4">
        <f t="shared" si="0"/>
        <v>3.84144</v>
      </c>
      <c r="G18" s="2">
        <f>1-B8</f>
        <v>0.6428571428571428</v>
      </c>
      <c r="H18" s="2">
        <f>(2*C6*C8)+F18-1-(E18*SQRT(F18-2-(1/C6)+4*C8*((C6*G18)+1)))</f>
        <v>2.6747331250101443</v>
      </c>
      <c r="I18" s="2">
        <f>(2*C6*C8)+F18+1+(E18*SQRT(F18+2-(1/C6)+4*C8*((C6*G18)-1)))</f>
        <v>17.948687293238585</v>
      </c>
      <c r="J18" s="33">
        <f>2*(C6+F18)</f>
        <v>71.68288</v>
      </c>
    </row>
    <row r="19" spans="1:11" ht="14.25">
      <c r="A19" s="7" t="s">
        <v>2</v>
      </c>
      <c r="B19" s="5">
        <f>ROUND(C7/(1-B7),4)</f>
        <v>2.5375</v>
      </c>
      <c r="C19" s="5">
        <f>ROUND(EXP(E20-(1.95996*G20)),4)</f>
        <v>1.2456</v>
      </c>
      <c r="D19" s="74">
        <f>ROUND(EXP(E20+(1.95996*G20)),4)</f>
        <v>5.1693</v>
      </c>
      <c r="E19" s="75" t="s">
        <v>29</v>
      </c>
      <c r="F19" s="87" t="s">
        <v>30</v>
      </c>
      <c r="G19" s="87" t="s">
        <v>31</v>
      </c>
      <c r="H19" s="87" t="s">
        <v>32</v>
      </c>
      <c r="I19" s="88"/>
      <c r="J19" s="88"/>
      <c r="K19" s="50"/>
    </row>
    <row r="20" spans="1:11" ht="15" thickBot="1">
      <c r="A20" s="7" t="s">
        <v>3</v>
      </c>
      <c r="B20" s="5">
        <f>ROUND((1-C7)/B7,4)</f>
        <v>0.1458</v>
      </c>
      <c r="C20" s="5">
        <f>ROUND(EXP(F20-(1.95996*H20)),4)</f>
        <v>0.0459</v>
      </c>
      <c r="D20" s="74">
        <f>ROUND(EXP(F20+(1.95996*H20)),4)</f>
        <v>0.4628</v>
      </c>
      <c r="E20" s="39">
        <f>LN(B19)</f>
        <v>0.9311793443679057</v>
      </c>
      <c r="F20" s="40">
        <f>LN(B20)</f>
        <v>-1.9255194594075793</v>
      </c>
      <c r="G20" s="40">
        <f>SQRT(((1-C7)/C5)+(B7/B5))</f>
        <v>0.3630484639715726</v>
      </c>
      <c r="H20" s="40">
        <f>SQRT((C7)/C4)+((1-B7)/B4)</f>
        <v>0.5893036212772446</v>
      </c>
      <c r="I20" s="41"/>
      <c r="J20" s="41"/>
      <c r="K20" s="50"/>
    </row>
    <row r="22" spans="1:6" ht="17.25">
      <c r="A22" s="55" t="s">
        <v>78</v>
      </c>
      <c r="B22" s="26"/>
      <c r="C22" s="31"/>
      <c r="D22" s="31"/>
      <c r="E22" s="31"/>
      <c r="F22" s="31"/>
    </row>
    <row r="23" spans="1:6" ht="17.25">
      <c r="A23" s="63" t="s">
        <v>77</v>
      </c>
      <c r="B23" s="16"/>
      <c r="C23" s="16"/>
      <c r="D23" s="16"/>
      <c r="E23" s="16"/>
      <c r="F23" s="16"/>
    </row>
    <row r="24" spans="1:6" ht="14.25">
      <c r="A24" s="2"/>
      <c r="B24" s="2"/>
      <c r="C24" s="2"/>
      <c r="D24" s="2"/>
      <c r="E24" s="2"/>
      <c r="F24" s="2"/>
    </row>
    <row r="25" spans="1:6" ht="14.25">
      <c r="A25" s="2"/>
      <c r="B25" s="3"/>
      <c r="C25" s="2"/>
      <c r="D25" s="2"/>
      <c r="E25" s="2"/>
      <c r="F25" s="2"/>
    </row>
    <row r="26" spans="1:6" ht="14.25">
      <c r="A26" s="2"/>
      <c r="B26" s="2"/>
      <c r="C26" s="3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7"/>
      <c r="D29" s="2"/>
      <c r="E29" s="2"/>
      <c r="F29" s="2"/>
    </row>
    <row r="30" spans="1:6" ht="14.25">
      <c r="A30" s="2"/>
      <c r="B30" s="2"/>
      <c r="C30" s="27"/>
      <c r="D30" s="2"/>
      <c r="E30" s="2"/>
      <c r="F30" s="2"/>
    </row>
    <row r="31" spans="1:6" ht="14.25">
      <c r="A31" s="2"/>
      <c r="B31" s="2"/>
      <c r="C31" s="27"/>
      <c r="D31" s="2"/>
      <c r="E31" s="2"/>
      <c r="F31" s="2"/>
    </row>
    <row r="32" spans="1:6" ht="14.25">
      <c r="A32" s="2"/>
      <c r="B32" s="2"/>
      <c r="C32" s="27"/>
      <c r="D32" s="2"/>
      <c r="E32" s="2"/>
      <c r="F32" s="2"/>
    </row>
    <row r="33" spans="1:6" ht="14.25">
      <c r="A33" s="2"/>
      <c r="B33" s="2"/>
      <c r="C33" s="27"/>
      <c r="D33" s="2"/>
      <c r="E33" s="2"/>
      <c r="F33" s="2"/>
    </row>
    <row r="34" spans="1:6" ht="14.25">
      <c r="A34" s="2"/>
      <c r="B34" s="2"/>
      <c r="C34" s="27"/>
      <c r="D34" s="2"/>
      <c r="E34" s="2"/>
      <c r="F34" s="2"/>
    </row>
    <row r="35" spans="1:6" ht="14.25">
      <c r="A35" s="92"/>
      <c r="B35" s="92"/>
      <c r="C35" s="26"/>
      <c r="D35" s="2"/>
      <c r="E35" s="2"/>
      <c r="F35" s="2"/>
    </row>
    <row r="36" spans="1:6" ht="14.25">
      <c r="A36" s="92"/>
      <c r="B36" s="92"/>
      <c r="C36" s="26"/>
      <c r="D36" s="2"/>
      <c r="E36" s="2"/>
      <c r="F36" s="2"/>
    </row>
    <row r="37" spans="1:6" ht="14.25">
      <c r="A37" s="2"/>
      <c r="B37" s="2"/>
      <c r="C37" s="2"/>
      <c r="D37" s="2"/>
      <c r="E37" s="2"/>
      <c r="F37" s="2"/>
    </row>
    <row r="38" spans="1:6" ht="14.25">
      <c r="A38" s="2"/>
      <c r="B38" s="2"/>
      <c r="C38" s="2"/>
      <c r="D38" s="2"/>
      <c r="E38" s="2"/>
      <c r="F38" s="2"/>
    </row>
    <row r="39" spans="1:6" ht="14.25">
      <c r="A39" s="2"/>
      <c r="B39" s="2"/>
      <c r="C39" s="2"/>
      <c r="D39" s="2"/>
      <c r="E39" s="2"/>
      <c r="F39" s="2"/>
    </row>
    <row r="40" spans="1:6" ht="17.25">
      <c r="A40" s="16"/>
      <c r="B40" s="16"/>
      <c r="C40" s="16"/>
      <c r="D40" s="16"/>
      <c r="E40" s="16"/>
      <c r="F40" s="2"/>
    </row>
    <row r="41" spans="1:6" ht="14.25">
      <c r="A41" s="2"/>
      <c r="B41" s="2"/>
      <c r="C41" s="2"/>
      <c r="D41" s="2"/>
      <c r="E41" s="2"/>
      <c r="F41" s="2"/>
    </row>
    <row r="42" spans="1:6" ht="14.25">
      <c r="A42" s="2"/>
      <c r="B42" s="2"/>
      <c r="C42" s="2"/>
      <c r="D42" s="2"/>
      <c r="E42" s="2"/>
      <c r="F42" s="2"/>
    </row>
    <row r="43" spans="1:6" ht="14.25">
      <c r="A43" s="2"/>
      <c r="B43" s="3"/>
      <c r="C43" s="2"/>
      <c r="D43" s="2"/>
      <c r="E43" s="2"/>
      <c r="F43" s="2"/>
    </row>
    <row r="44" spans="1:6" ht="14.25">
      <c r="A44" s="2"/>
      <c r="B44" s="2"/>
      <c r="C44" s="3"/>
      <c r="D44" s="2"/>
      <c r="E44" s="2"/>
      <c r="F44" s="2"/>
    </row>
    <row r="45" spans="1:6" ht="14.25">
      <c r="A45" s="2"/>
      <c r="B45" s="2"/>
      <c r="C45" s="2"/>
      <c r="D45" s="2"/>
      <c r="E45" s="2"/>
      <c r="F45" s="2"/>
    </row>
    <row r="46" spans="1:6" ht="14.25">
      <c r="A46" s="2"/>
      <c r="B46" s="2"/>
      <c r="C46" s="2"/>
      <c r="D46" s="2"/>
      <c r="E46" s="2"/>
      <c r="F46" s="2"/>
    </row>
    <row r="47" spans="1:6" ht="14.25">
      <c r="A47" s="2"/>
      <c r="B47" s="2"/>
      <c r="C47" s="27"/>
      <c r="D47" s="2"/>
      <c r="E47" s="2"/>
      <c r="F47" s="2"/>
    </row>
    <row r="48" spans="1:6" ht="14.25">
      <c r="A48" s="2"/>
      <c r="B48" s="2"/>
      <c r="C48" s="27"/>
      <c r="D48" s="2"/>
      <c r="E48" s="2"/>
      <c r="F48" s="2"/>
    </row>
    <row r="49" spans="1:6" ht="14.25">
      <c r="A49" s="2"/>
      <c r="B49" s="2"/>
      <c r="C49" s="27"/>
      <c r="D49" s="2"/>
      <c r="E49" s="2"/>
      <c r="F49" s="2"/>
    </row>
    <row r="50" spans="1:6" ht="14.25">
      <c r="A50" s="2"/>
      <c r="B50" s="2"/>
      <c r="C50" s="27"/>
      <c r="D50" s="2"/>
      <c r="E50" s="2"/>
      <c r="F50" s="2"/>
    </row>
    <row r="51" spans="1:6" ht="14.25">
      <c r="A51" s="28"/>
      <c r="B51" s="28"/>
      <c r="C51" s="27"/>
      <c r="D51" s="2"/>
      <c r="E51" s="2"/>
      <c r="F51" s="2"/>
    </row>
    <row r="52" spans="1:6" ht="14.25">
      <c r="A52" s="28"/>
      <c r="B52" s="28"/>
      <c r="C52" s="27"/>
      <c r="D52" s="2"/>
      <c r="E52" s="2"/>
      <c r="F52" s="2"/>
    </row>
    <row r="53" spans="1:6" ht="14.25">
      <c r="A53" s="26"/>
      <c r="B53" s="26"/>
      <c r="C53" s="26"/>
      <c r="D53" s="2"/>
      <c r="E53" s="2"/>
      <c r="F53" s="2"/>
    </row>
    <row r="54" spans="1:6" ht="14.25">
      <c r="A54" s="26"/>
      <c r="B54" s="26"/>
      <c r="C54" s="26"/>
      <c r="D54" s="2"/>
      <c r="E54" s="2"/>
      <c r="F54" s="2"/>
    </row>
    <row r="55" spans="1:6" ht="14.25">
      <c r="A55" s="26"/>
      <c r="B55" s="26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4.25">
      <c r="A57" s="2"/>
      <c r="B57" s="2"/>
      <c r="C57" s="2"/>
      <c r="D57" s="2"/>
      <c r="E57" s="2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2"/>
      <c r="C60" s="2"/>
      <c r="D60" s="2"/>
      <c r="E60" s="2"/>
      <c r="F60" s="2"/>
    </row>
    <row r="61" spans="1:6" ht="17.25">
      <c r="A61" s="16"/>
      <c r="B61" s="4"/>
      <c r="C61" s="4"/>
      <c r="D61" s="4"/>
      <c r="E61" s="4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3"/>
      <c r="C64" s="3"/>
      <c r="D64" s="2"/>
      <c r="E64" s="2"/>
      <c r="F64" s="2"/>
    </row>
    <row r="65" spans="1:6" ht="14.25">
      <c r="A65" s="2"/>
      <c r="B65" s="3"/>
      <c r="C65" s="3"/>
      <c r="D65" s="2"/>
      <c r="E65" s="2"/>
      <c r="F65" s="2"/>
    </row>
    <row r="66" spans="1:6" ht="14.25">
      <c r="A66" s="2"/>
      <c r="B66" s="2"/>
      <c r="C66" s="2"/>
      <c r="D66" s="2"/>
      <c r="E66" s="2"/>
      <c r="F66" s="2"/>
    </row>
    <row r="67" spans="1:6" ht="14.25">
      <c r="A67" s="2"/>
      <c r="B67" s="2"/>
      <c r="C67" s="2"/>
      <c r="D67" s="2"/>
      <c r="E67" s="2"/>
      <c r="F67" s="2"/>
    </row>
    <row r="68" spans="1:6" ht="14.25">
      <c r="A68" s="2"/>
      <c r="B68" s="2"/>
      <c r="C68" s="27"/>
      <c r="D68" s="2"/>
      <c r="E68" s="2"/>
      <c r="F68" s="2"/>
    </row>
    <row r="69" spans="1:6" ht="14.25">
      <c r="A69" s="2"/>
      <c r="B69" s="2"/>
      <c r="C69" s="27"/>
      <c r="D69" s="2"/>
      <c r="E69" s="2"/>
      <c r="F69" s="2"/>
    </row>
    <row r="70" spans="1:6" ht="14.25">
      <c r="A70" s="2"/>
      <c r="B70" s="2"/>
      <c r="C70" s="27"/>
      <c r="D70" s="2"/>
      <c r="E70" s="2"/>
      <c r="F70" s="2"/>
    </row>
    <row r="71" spans="1:6" ht="14.25">
      <c r="A71" s="2"/>
      <c r="B71" s="2"/>
      <c r="C71" s="27"/>
      <c r="D71" s="2"/>
      <c r="E71" s="2"/>
      <c r="F71" s="2"/>
    </row>
    <row r="72" spans="1:6" ht="14.25">
      <c r="A72" s="28"/>
      <c r="B72" s="28"/>
      <c r="C72" s="27"/>
      <c r="D72" s="2"/>
      <c r="E72" s="2"/>
      <c r="F72" s="2"/>
    </row>
    <row r="73" spans="1:6" ht="14.25">
      <c r="A73" s="28"/>
      <c r="B73" s="28"/>
      <c r="C73" s="27"/>
      <c r="D73" s="2"/>
      <c r="E73" s="2"/>
      <c r="F73" s="2"/>
    </row>
    <row r="74" spans="1:6" ht="14.25">
      <c r="A74" s="26"/>
      <c r="B74" s="26"/>
      <c r="C74" s="26"/>
      <c r="D74" s="2"/>
      <c r="E74" s="2"/>
      <c r="F74" s="2"/>
    </row>
    <row r="75" spans="1:6" ht="14.25">
      <c r="A75" s="26"/>
      <c r="B75" s="26"/>
      <c r="C75" s="26"/>
      <c r="D75" s="2"/>
      <c r="E75" s="2"/>
      <c r="F75" s="2"/>
    </row>
    <row r="76" spans="1:6" ht="14.25">
      <c r="A76" s="2"/>
      <c r="B76" s="2"/>
      <c r="C76" s="2"/>
      <c r="D76" s="2"/>
      <c r="E76" s="2"/>
      <c r="F76" s="2"/>
    </row>
    <row r="77" spans="1:6" ht="14.25">
      <c r="A77" s="26"/>
      <c r="B77" s="26"/>
      <c r="C77" s="2"/>
      <c r="D77" s="2"/>
      <c r="E77" s="2"/>
      <c r="F77" s="2"/>
    </row>
  </sheetData>
  <sheetProtection/>
  <mergeCells count="2">
    <mergeCell ref="A36:B36"/>
    <mergeCell ref="A35:B35"/>
  </mergeCells>
  <printOptions/>
  <pageMargins left="0.75" right="0.75" top="1" bottom="1" header="0.512" footer="0.512"/>
  <pageSetup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H35" sqref="H35"/>
    </sheetView>
  </sheetViews>
  <sheetFormatPr defaultColWidth="13" defaultRowHeight="15"/>
  <cols>
    <col min="1" max="1" width="30.8984375" style="1" customWidth="1"/>
    <col min="2" max="3" width="14.59765625" style="1" customWidth="1"/>
    <col min="4" max="4" width="18.8984375" style="1" customWidth="1"/>
    <col min="5" max="9" width="10.8984375" style="1" customWidth="1"/>
    <col min="10" max="10" width="11.19921875" style="1" customWidth="1"/>
    <col min="11" max="16384" width="13" style="1" customWidth="1"/>
  </cols>
  <sheetData>
    <row r="1" spans="1:5" ht="24.75" customHeight="1" thickBot="1">
      <c r="A1" s="29" t="s">
        <v>35</v>
      </c>
      <c r="B1" s="44" t="s">
        <v>33</v>
      </c>
      <c r="C1" s="30"/>
      <c r="D1" s="30"/>
      <c r="E1" s="30"/>
    </row>
    <row r="2" spans="2:3" ht="15" thickBot="1">
      <c r="B2" s="10" t="s">
        <v>36</v>
      </c>
      <c r="C2" s="10" t="s">
        <v>37</v>
      </c>
    </row>
    <row r="3" spans="1:6" ht="15" thickBot="1">
      <c r="A3" s="4"/>
      <c r="B3" s="45" t="s">
        <v>38</v>
      </c>
      <c r="C3" s="45" t="s">
        <v>39</v>
      </c>
      <c r="D3" s="20" t="s">
        <v>9</v>
      </c>
      <c r="E3" s="6" t="s">
        <v>40</v>
      </c>
      <c r="F3" s="5" t="s">
        <v>41</v>
      </c>
    </row>
    <row r="4" spans="1:6" ht="14.25">
      <c r="A4" s="11" t="s">
        <v>42</v>
      </c>
      <c r="B4" s="24">
        <v>9</v>
      </c>
      <c r="C4" s="24">
        <v>3</v>
      </c>
      <c r="D4" s="23">
        <f>B4+C4</f>
        <v>12</v>
      </c>
      <c r="E4" s="5">
        <f>C4/D4</f>
        <v>0.25</v>
      </c>
      <c r="F4" s="5">
        <f>B4/D4</f>
        <v>0.75</v>
      </c>
    </row>
    <row r="5" spans="1:6" ht="15" thickBot="1">
      <c r="A5" s="12" t="s">
        <v>43</v>
      </c>
      <c r="B5" s="25">
        <v>5</v>
      </c>
      <c r="C5" s="25">
        <v>29</v>
      </c>
      <c r="D5" s="23">
        <f>B5+C5</f>
        <v>34</v>
      </c>
      <c r="E5" s="5">
        <f>B5/D5</f>
        <v>0.14705882352941177</v>
      </c>
      <c r="F5" s="5">
        <f>C5/D5</f>
        <v>0.8529411764705882</v>
      </c>
    </row>
    <row r="6" spans="1:5" ht="19.5" customHeight="1">
      <c r="A6" s="8" t="s">
        <v>9</v>
      </c>
      <c r="B6" s="19">
        <f>B4+B5</f>
        <v>14</v>
      </c>
      <c r="C6" s="19">
        <f>C4+C5</f>
        <v>32</v>
      </c>
      <c r="D6" s="21">
        <f>D4+D5</f>
        <v>46</v>
      </c>
      <c r="E6" s="22"/>
    </row>
    <row r="7" spans="1:5" ht="14.25">
      <c r="A7" s="6" t="s">
        <v>44</v>
      </c>
      <c r="B7" s="5">
        <f>B4/B6</f>
        <v>0.6428571428571429</v>
      </c>
      <c r="C7" s="5">
        <f>C5/C6</f>
        <v>0.90625</v>
      </c>
      <c r="D7" s="46" t="s">
        <v>45</v>
      </c>
      <c r="E7" s="4">
        <v>0.95</v>
      </c>
    </row>
    <row r="8" spans="1:5" ht="14.25">
      <c r="A8" s="6" t="s">
        <v>46</v>
      </c>
      <c r="B8" s="5">
        <f>B5/B6</f>
        <v>0.35714285714285715</v>
      </c>
      <c r="C8" s="5">
        <f>C4/C6</f>
        <v>0.09375</v>
      </c>
      <c r="D8" s="46" t="s">
        <v>47</v>
      </c>
      <c r="E8" s="4">
        <f>1-(1-E7)/2</f>
        <v>0.975</v>
      </c>
    </row>
    <row r="9" spans="1:4" ht="14.25">
      <c r="A9" s="6" t="s">
        <v>48</v>
      </c>
      <c r="B9" s="6">
        <f>C6/D6</f>
        <v>0.6956521739130435</v>
      </c>
      <c r="C9" s="66">
        <v>0.6957</v>
      </c>
      <c r="D9" s="67" t="s">
        <v>79</v>
      </c>
    </row>
    <row r="10" spans="1:13" ht="21.75" customHeight="1" thickBot="1">
      <c r="A10" s="47" t="s">
        <v>10</v>
      </c>
      <c r="B10" s="48" t="s">
        <v>6</v>
      </c>
      <c r="C10" s="48" t="s">
        <v>7</v>
      </c>
      <c r="D10" s="35" t="s">
        <v>8</v>
      </c>
      <c r="E10" s="76" t="s">
        <v>49</v>
      </c>
      <c r="F10" s="36" t="s">
        <v>50</v>
      </c>
      <c r="G10" s="36" t="s">
        <v>51</v>
      </c>
      <c r="H10" s="36" t="s">
        <v>52</v>
      </c>
      <c r="I10" s="76" t="s">
        <v>53</v>
      </c>
      <c r="J10" s="49" t="s">
        <v>54</v>
      </c>
      <c r="K10" s="35" t="s">
        <v>55</v>
      </c>
      <c r="L10" s="36" t="s">
        <v>56</v>
      </c>
      <c r="M10" s="50"/>
    </row>
    <row r="11" spans="1:13" ht="14.25">
      <c r="A11" s="13" t="s">
        <v>57</v>
      </c>
      <c r="B11" s="17">
        <f>ROUND(C7,4)</f>
        <v>0.9063</v>
      </c>
      <c r="C11" s="14">
        <f>ROUND(G11/H11,4)</f>
        <v>0.7498</v>
      </c>
      <c r="D11" s="34">
        <f>ROUND(K11/L11,4)</f>
        <v>0.9802</v>
      </c>
      <c r="E11" s="77">
        <f>_xlfn.F.INV(1-E8,2*C5,2*C4+2)</f>
        <v>0.4132927010334787</v>
      </c>
      <c r="F11" s="51">
        <f>1/E11</f>
        <v>2.419592694231963</v>
      </c>
      <c r="G11" s="51">
        <f>C5</f>
        <v>29</v>
      </c>
      <c r="H11" s="51">
        <f>C5+(C4+1)*F11</f>
        <v>38.67837077692785</v>
      </c>
      <c r="I11" s="77">
        <f>_xlfn.F.INV(1-E8,2*C4,2*C5+2)</f>
        <v>0.2016580119892261</v>
      </c>
      <c r="J11" s="51">
        <f>1/I11</f>
        <v>4.958890500484685</v>
      </c>
      <c r="K11" s="51">
        <f>C5+1</f>
        <v>30</v>
      </c>
      <c r="L11" s="52">
        <f>C5+1+C4/J11</f>
        <v>30.60497403596768</v>
      </c>
      <c r="M11" s="50"/>
    </row>
    <row r="12" spans="1:13" ht="14.25">
      <c r="A12" s="7" t="s">
        <v>58</v>
      </c>
      <c r="B12" s="18">
        <f>ROUND(B7,4)</f>
        <v>0.6429</v>
      </c>
      <c r="C12" s="5">
        <f>ROUND(G12/H12,4)</f>
        <v>0.3514</v>
      </c>
      <c r="D12" s="74">
        <f>ROUND(K12/L12,4)</f>
        <v>0.8724</v>
      </c>
      <c r="E12" s="77">
        <f>_xlfn.F.INV(1-E8,2*B4,2*B5+2)</f>
        <v>0.3611566819201261</v>
      </c>
      <c r="F12" s="51">
        <f>1/E12</f>
        <v>2.768881347240756</v>
      </c>
      <c r="G12" s="51">
        <f>B4</f>
        <v>9</v>
      </c>
      <c r="H12" s="51">
        <f>B4+(B5+1)*F12</f>
        <v>25.613288083444537</v>
      </c>
      <c r="I12" s="77">
        <f>_xlfn.F.INV(1-E8,2*B5,2*B4+2)</f>
        <v>0.29252223798395915</v>
      </c>
      <c r="J12" s="51">
        <f>1/I12</f>
        <v>3.4185435161850375</v>
      </c>
      <c r="K12" s="51">
        <f>B4+1</f>
        <v>10</v>
      </c>
      <c r="L12" s="52">
        <f>B4+1+B5/J12</f>
        <v>11.462611189919796</v>
      </c>
      <c r="M12" s="50"/>
    </row>
    <row r="13" spans="1:13" ht="14.25">
      <c r="A13" s="7" t="s">
        <v>59</v>
      </c>
      <c r="B13" s="18">
        <f>ROUND(E5,4)</f>
        <v>0.1471</v>
      </c>
      <c r="C13" s="5">
        <f>ROUND(G13/H13,4)</f>
        <v>0.0495</v>
      </c>
      <c r="D13" s="74">
        <f>ROUND(K13/L13,4)</f>
        <v>0.3106</v>
      </c>
      <c r="E13" s="78">
        <f>_xlfn.F.INV(1-E8,2*B5,2*C5+2)</f>
        <v>0.3126561054672704</v>
      </c>
      <c r="F13" s="4">
        <f>1/E13</f>
        <v>3.1984022781371286</v>
      </c>
      <c r="G13" s="4">
        <f>B5</f>
        <v>5</v>
      </c>
      <c r="H13" s="2">
        <f>B5+(C5+1)*F13</f>
        <v>100.95206834411385</v>
      </c>
      <c r="I13" s="84">
        <f>_xlfn.F.INV(1-E8,2*C5,2*B5+2)</f>
        <v>0.4592959205132478</v>
      </c>
      <c r="J13" s="2">
        <f>1/I13</f>
        <v>2.177245552023483</v>
      </c>
      <c r="K13" s="4">
        <f>B5+1</f>
        <v>6</v>
      </c>
      <c r="L13" s="1">
        <f>B5+1+C5/J13</f>
        <v>19.319581694884185</v>
      </c>
      <c r="M13" s="50"/>
    </row>
    <row r="14" spans="1:13" ht="15" thickBot="1">
      <c r="A14" s="7" t="s">
        <v>60</v>
      </c>
      <c r="B14" s="18">
        <f>ROUND(E4,4)</f>
        <v>0.25</v>
      </c>
      <c r="C14" s="5">
        <f>ROUND(G14/H14,4)</f>
        <v>0.0549</v>
      </c>
      <c r="D14" s="74">
        <f>ROUND(K14/L14,4)</f>
        <v>0.5719</v>
      </c>
      <c r="E14" s="78">
        <f>_xlfn.F.INV(1-E8,2*C4,2*B4+2)</f>
        <v>0.1934834413936594</v>
      </c>
      <c r="F14" s="4">
        <f>1/E14</f>
        <v>5.168400938069994</v>
      </c>
      <c r="G14" s="4">
        <f>C4</f>
        <v>3</v>
      </c>
      <c r="H14" s="2">
        <f>C4+(B4+1)*F14</f>
        <v>54.68400938069994</v>
      </c>
      <c r="I14" s="84">
        <f>_xlfn.F.INV(1-E8,2*B4,2*C4+2)</f>
        <v>0.33274864453202846</v>
      </c>
      <c r="J14" s="2">
        <f>1/I14</f>
        <v>3.005271445677507</v>
      </c>
      <c r="K14" s="4">
        <f>C4+1</f>
        <v>4</v>
      </c>
      <c r="L14" s="1">
        <f>C4+1+B4/J14</f>
        <v>6.994737800788256</v>
      </c>
      <c r="M14" s="50"/>
    </row>
    <row r="15" spans="1:13" ht="14.25">
      <c r="A15" s="53" t="s">
        <v>61</v>
      </c>
      <c r="B15" s="54">
        <f>ROUND(EXP(F16)/(1+EXP(F16)),4)</f>
        <v>0.853</v>
      </c>
      <c r="C15" s="6">
        <f>ROUND(EXP(G16)/(1+EXP(G16)),4)</f>
        <v>0.7401</v>
      </c>
      <c r="D15" s="70">
        <f>ROUND(EXP(H16)/(1+EXP(H16)),4)</f>
        <v>0.922</v>
      </c>
      <c r="E15" s="79" t="s">
        <v>80</v>
      </c>
      <c r="F15" s="71" t="s">
        <v>81</v>
      </c>
      <c r="G15" s="71" t="s">
        <v>82</v>
      </c>
      <c r="H15" s="71" t="s">
        <v>83</v>
      </c>
      <c r="I15" s="79" t="s">
        <v>80</v>
      </c>
      <c r="J15" s="71" t="s">
        <v>84</v>
      </c>
      <c r="K15" s="71" t="s">
        <v>82</v>
      </c>
      <c r="L15" s="71" t="s">
        <v>83</v>
      </c>
      <c r="M15" s="50"/>
    </row>
    <row r="16" spans="1:13" ht="15" thickBot="1">
      <c r="A16" s="53" t="s">
        <v>62</v>
      </c>
      <c r="B16" s="54">
        <f>ROUND(EXP(J16)/(1+EXP(J16)),4)</f>
        <v>0.75</v>
      </c>
      <c r="C16" s="6">
        <f>ROUND(EXP(K16)/(1+EXP(K16)),4)</f>
        <v>0.4881</v>
      </c>
      <c r="D16" s="68">
        <f>ROUND(EXP(L16)/(1+EXP(L16)),4)</f>
        <v>0.9041</v>
      </c>
      <c r="E16" s="80">
        <f>(1-C$7)/C$7*1/C$6+B$7/(1-B$7)*1/B$6</f>
        <v>0.13180418719211826</v>
      </c>
      <c r="F16" s="72">
        <f>LN(C$7*C$9/((1-B$7)*(1-C$9)))</f>
        <v>1.7580838203945761</v>
      </c>
      <c r="G16" s="72">
        <f>F16-1.95996*SQRT(E16)</f>
        <v>1.0465233529488527</v>
      </c>
      <c r="H16" s="72">
        <f>F16+1.95996*SQRT(E16)</f>
        <v>2.4696442878402998</v>
      </c>
      <c r="I16" s="80">
        <f>C$7/(1-C$7)*1/C$6+(1-B$7)/B$7*1/B$6</f>
        <v>0.34176587301587297</v>
      </c>
      <c r="J16" s="72">
        <f>LN(B$7*(1-C$9)/((1-C$7)*C$9))</f>
        <v>1.0983863858259075</v>
      </c>
      <c r="K16" s="73">
        <f>J16-1.95996*SQRT(I16)</f>
        <v>-0.047420835933369876</v>
      </c>
      <c r="L16" s="72">
        <f>J16+1.95996*SQRT(I16)</f>
        <v>2.244193607585185</v>
      </c>
      <c r="M16" s="50"/>
    </row>
    <row r="17" spans="1:13" ht="14.25">
      <c r="A17" s="7" t="s">
        <v>63</v>
      </c>
      <c r="B17" s="5">
        <f>ROUND(B8,4)</f>
        <v>0.3571</v>
      </c>
      <c r="C17" s="5">
        <f>ROUND(G17/H17,4)</f>
        <v>0.1276</v>
      </c>
      <c r="D17" s="74">
        <f>ROUND(K17/L17,4)</f>
        <v>0.6486</v>
      </c>
      <c r="E17" s="81">
        <f>_xlfn.F.INV(1-E8,2*B5,2*B4+2)</f>
        <v>0.29252223798395915</v>
      </c>
      <c r="F17" s="68">
        <f>1/E17</f>
        <v>3.4185435161850375</v>
      </c>
      <c r="G17" s="68">
        <f>B5</f>
        <v>5</v>
      </c>
      <c r="H17" s="69">
        <f>B5+(B4+1)*F17</f>
        <v>39.18543516185038</v>
      </c>
      <c r="I17" s="84">
        <f>_xlfn.F.INV(1-E8,2*B4,2*B5+2)</f>
        <v>0.3611566819201261</v>
      </c>
      <c r="J17" s="2">
        <f>1/I17</f>
        <v>2.768881347240756</v>
      </c>
      <c r="K17" s="4">
        <f>B5+1</f>
        <v>6</v>
      </c>
      <c r="L17" s="1">
        <f>B5+1+B4/J17</f>
        <v>9.250410137281134</v>
      </c>
      <c r="M17" s="50"/>
    </row>
    <row r="18" spans="1:13" ht="15" thickBot="1">
      <c r="A18" s="7" t="s">
        <v>64</v>
      </c>
      <c r="B18" s="5">
        <f>ROUND(C8,4)</f>
        <v>0.0938</v>
      </c>
      <c r="C18" s="5">
        <f>ROUND(G18/H18,4)</f>
        <v>0.0198</v>
      </c>
      <c r="D18" s="74">
        <f>ROUND(K18/L18,4)</f>
        <v>0.2502</v>
      </c>
      <c r="E18" s="82">
        <f>_xlfn.F.INV(1-E8,2*C4,2*C5+2)</f>
        <v>0.2016580119892261</v>
      </c>
      <c r="F18" s="40">
        <f>1/E18</f>
        <v>4.958890500484685</v>
      </c>
      <c r="G18" s="40">
        <f>C4</f>
        <v>3</v>
      </c>
      <c r="H18" s="41">
        <f>C4+(C5+1)*F18</f>
        <v>151.76671501454055</v>
      </c>
      <c r="I18" s="85">
        <f>_xlfn.F.INV(1-E8,2*C5,2*C4+2)</f>
        <v>0.4132927010334787</v>
      </c>
      <c r="J18" s="41">
        <f>1/I18</f>
        <v>2.419592694231963</v>
      </c>
      <c r="K18" s="40">
        <f>C4+1</f>
        <v>4</v>
      </c>
      <c r="L18" s="42">
        <f>C4+1+C5/J18</f>
        <v>15.985488329970883</v>
      </c>
      <c r="M18" s="50"/>
    </row>
    <row r="19" spans="1:13" ht="14.25">
      <c r="A19" s="7" t="s">
        <v>65</v>
      </c>
      <c r="B19" s="5">
        <f>ROUND(C7/(1-B7),4)</f>
        <v>2.5375</v>
      </c>
      <c r="C19" s="5">
        <f>ROUND(EXP(E20-(1.95996*G20)),4)</f>
        <v>1.2456</v>
      </c>
      <c r="D19" s="74">
        <f>ROUND(EXP(E20+(1.95996*G20)),4)</f>
        <v>5.1693</v>
      </c>
      <c r="E19" s="83" t="s">
        <v>66</v>
      </c>
      <c r="F19" s="4" t="s">
        <v>67</v>
      </c>
      <c r="G19" s="4" t="s">
        <v>68</v>
      </c>
      <c r="H19" s="4" t="s">
        <v>69</v>
      </c>
      <c r="I19" s="86"/>
      <c r="J19" s="2"/>
      <c r="K19" s="2"/>
      <c r="L19" s="2"/>
      <c r="M19" s="50"/>
    </row>
    <row r="20" spans="1:13" ht="15" thickBot="1">
      <c r="A20" s="7" t="s">
        <v>70</v>
      </c>
      <c r="B20" s="5">
        <f>ROUND((1-C7)/B7,4)</f>
        <v>0.1458</v>
      </c>
      <c r="C20" s="5">
        <f>ROUND(EXP(F20-(1.95996*H20)),4)</f>
        <v>0.0459</v>
      </c>
      <c r="D20" s="74">
        <f>ROUND(EXP(F20+(1.95996*H20)),4)</f>
        <v>0.4628</v>
      </c>
      <c r="E20" s="82">
        <f>LN(B19)</f>
        <v>0.9311793443679057</v>
      </c>
      <c r="F20" s="40">
        <f>LN(B20)</f>
        <v>-1.9255194594075793</v>
      </c>
      <c r="G20" s="40">
        <f>SQRT(((1-C7)/C5)+(B7/B5))</f>
        <v>0.3630484639715726</v>
      </c>
      <c r="H20" s="40">
        <f>SQRT((C7)/C4)+((1-B7)/B4)</f>
        <v>0.5893036212772446</v>
      </c>
      <c r="I20" s="85"/>
      <c r="J20" s="41"/>
      <c r="K20" s="41"/>
      <c r="L20" s="41"/>
      <c r="M20" s="50"/>
    </row>
    <row r="21" spans="2:4" ht="14.25">
      <c r="B21" s="65"/>
      <c r="C21" s="46"/>
      <c r="D21" s="46"/>
    </row>
    <row r="22" spans="1:6" ht="14.25">
      <c r="A22" s="55" t="s">
        <v>71</v>
      </c>
      <c r="C22" s="4"/>
      <c r="D22" s="4"/>
      <c r="E22" s="56"/>
      <c r="F22" s="56"/>
    </row>
    <row r="23" spans="1:6" ht="14.25">
      <c r="A23" s="57" t="s">
        <v>72</v>
      </c>
      <c r="B23" s="56"/>
      <c r="C23" s="4"/>
      <c r="D23" s="4"/>
      <c r="E23" s="2"/>
      <c r="F23" s="2"/>
    </row>
    <row r="24" spans="1:6" ht="14.25">
      <c r="A24" s="58" t="s">
        <v>73</v>
      </c>
      <c r="B24" s="57"/>
      <c r="C24" s="57"/>
      <c r="D24" s="2"/>
      <c r="E24" s="2"/>
      <c r="F24" s="2"/>
    </row>
    <row r="25" spans="1:6" ht="14.25">
      <c r="A25" s="55" t="s">
        <v>74</v>
      </c>
      <c r="B25" s="57"/>
      <c r="C25" s="59"/>
      <c r="D25" s="2"/>
      <c r="E25" s="2"/>
      <c r="F25" s="2"/>
    </row>
    <row r="26" spans="1:6" ht="14.25">
      <c r="A26" s="60" t="s">
        <v>75</v>
      </c>
      <c r="B26" s="2"/>
      <c r="C26" s="61"/>
      <c r="D26" s="2"/>
      <c r="E26" s="2"/>
      <c r="F26" s="2"/>
    </row>
    <row r="27" spans="1:6" ht="14.25">
      <c r="A27" s="62" t="s">
        <v>76</v>
      </c>
      <c r="B27" s="2"/>
      <c r="C27" s="61"/>
      <c r="D27" s="2"/>
      <c r="E27" s="2"/>
      <c r="F27" s="2"/>
    </row>
    <row r="28" spans="1:6" ht="14.25">
      <c r="A28" s="57"/>
      <c r="B28" s="2"/>
      <c r="C28" s="61"/>
      <c r="D28" s="2"/>
      <c r="E28" s="2"/>
      <c r="F28" s="2"/>
    </row>
    <row r="29" spans="1:6" ht="14.25">
      <c r="A29" s="90" t="s">
        <v>85</v>
      </c>
      <c r="B29" s="89"/>
      <c r="C29" s="27"/>
      <c r="D29" s="91"/>
      <c r="E29" s="2"/>
      <c r="F29" s="2"/>
    </row>
    <row r="30" spans="1:6" ht="14.25">
      <c r="A30" s="2"/>
      <c r="B30" s="2"/>
      <c r="C30" s="27"/>
      <c r="D30" s="2"/>
      <c r="E30" s="2"/>
      <c r="F30" s="2"/>
    </row>
    <row r="31" spans="1:6" ht="14.25">
      <c r="A31" s="92"/>
      <c r="B31" s="92"/>
      <c r="C31" s="43"/>
      <c r="D31" s="2"/>
      <c r="E31" s="2"/>
      <c r="F31" s="2"/>
    </row>
    <row r="32" spans="1:6" ht="14.25">
      <c r="A32" s="92"/>
      <c r="B32" s="92"/>
      <c r="C32" s="43"/>
      <c r="D32" s="2"/>
      <c r="E32" s="2"/>
      <c r="F32" s="2"/>
    </row>
    <row r="33" spans="1:6" ht="14.25">
      <c r="A33" s="2"/>
      <c r="B33" s="2"/>
      <c r="C33" s="2"/>
      <c r="D33" s="2"/>
      <c r="E33" s="2"/>
      <c r="F33" s="2"/>
    </row>
    <row r="34" spans="1:6" ht="14.25">
      <c r="A34" s="2"/>
      <c r="B34" s="2"/>
      <c r="C34" s="2"/>
      <c r="D34" s="2"/>
      <c r="E34" s="2"/>
      <c r="F34" s="2"/>
    </row>
    <row r="35" spans="1:6" ht="14.25">
      <c r="A35" s="2"/>
      <c r="B35" s="2"/>
      <c r="C35" s="2"/>
      <c r="D35" s="2"/>
      <c r="E35" s="2"/>
      <c r="F35" s="2"/>
    </row>
    <row r="36" spans="1:6" ht="17.25">
      <c r="A36" s="16"/>
      <c r="B36" s="16"/>
      <c r="C36" s="16"/>
      <c r="D36" s="16"/>
      <c r="E36" s="16"/>
      <c r="F36" s="2"/>
    </row>
    <row r="37" spans="1:6" ht="14.25">
      <c r="A37" s="2"/>
      <c r="B37" s="2"/>
      <c r="C37" s="2"/>
      <c r="D37" s="2"/>
      <c r="E37" s="2"/>
      <c r="F37" s="2"/>
    </row>
    <row r="38" spans="1:6" ht="14.25">
      <c r="A38" s="2"/>
      <c r="B38" s="2"/>
      <c r="C38" s="2"/>
      <c r="D38" s="2"/>
      <c r="E38" s="2"/>
      <c r="F38" s="2"/>
    </row>
    <row r="39" spans="1:6" ht="14.25">
      <c r="A39" s="2"/>
      <c r="B39" s="3"/>
      <c r="C39" s="2"/>
      <c r="D39" s="2"/>
      <c r="E39" s="2"/>
      <c r="F39" s="2"/>
    </row>
    <row r="40" spans="1:6" ht="14.25">
      <c r="A40" s="2"/>
      <c r="B40" s="2"/>
      <c r="C40" s="3"/>
      <c r="D40" s="2"/>
      <c r="E40" s="2"/>
      <c r="F40" s="2"/>
    </row>
    <row r="41" spans="1:6" ht="14.25">
      <c r="A41" s="2"/>
      <c r="B41" s="2"/>
      <c r="C41" s="2"/>
      <c r="D41" s="2"/>
      <c r="E41" s="2"/>
      <c r="F41" s="2"/>
    </row>
    <row r="42" spans="1:6" ht="14.25">
      <c r="A42" s="2"/>
      <c r="B42" s="2"/>
      <c r="C42" s="2"/>
      <c r="D42" s="2"/>
      <c r="E42" s="2"/>
      <c r="F42" s="2"/>
    </row>
    <row r="43" spans="1:6" ht="14.25">
      <c r="A43" s="2"/>
      <c r="B43" s="2"/>
      <c r="C43" s="27"/>
      <c r="D43" s="2"/>
      <c r="E43" s="2"/>
      <c r="F43" s="2"/>
    </row>
    <row r="44" spans="1:6" ht="14.25">
      <c r="A44" s="2"/>
      <c r="B44" s="2"/>
      <c r="C44" s="27"/>
      <c r="D44" s="2"/>
      <c r="E44" s="2"/>
      <c r="F44" s="2"/>
    </row>
    <row r="45" spans="1:6" ht="14.25">
      <c r="A45" s="2"/>
      <c r="B45" s="2"/>
      <c r="C45" s="27"/>
      <c r="D45" s="2"/>
      <c r="E45" s="2"/>
      <c r="F45" s="2"/>
    </row>
    <row r="46" spans="1:6" ht="14.25">
      <c r="A46" s="2"/>
      <c r="B46" s="2"/>
      <c r="C46" s="27"/>
      <c r="D46" s="2"/>
      <c r="E46" s="2"/>
      <c r="F46" s="2"/>
    </row>
    <row r="47" spans="1:6" ht="14.25">
      <c r="A47" s="28"/>
      <c r="B47" s="28"/>
      <c r="C47" s="27"/>
      <c r="D47" s="2"/>
      <c r="E47" s="2"/>
      <c r="F47" s="2"/>
    </row>
    <row r="48" spans="1:6" ht="14.25">
      <c r="A48" s="28"/>
      <c r="B48" s="28"/>
      <c r="C48" s="27"/>
      <c r="D48" s="2"/>
      <c r="E48" s="2"/>
      <c r="F48" s="2"/>
    </row>
    <row r="49" spans="1:6" ht="14.25">
      <c r="A49" s="43"/>
      <c r="B49" s="43"/>
      <c r="C49" s="43"/>
      <c r="D49" s="2"/>
      <c r="E49" s="2"/>
      <c r="F49" s="2"/>
    </row>
    <row r="50" spans="1:6" ht="14.25">
      <c r="A50" s="43"/>
      <c r="B50" s="43"/>
      <c r="C50" s="43"/>
      <c r="D50" s="2"/>
      <c r="E50" s="2"/>
      <c r="F50" s="2"/>
    </row>
    <row r="51" spans="1:6" ht="14.25">
      <c r="A51" s="43"/>
      <c r="B51" s="43"/>
      <c r="C51" s="2"/>
      <c r="D51" s="2"/>
      <c r="E51" s="2"/>
      <c r="F51" s="2"/>
    </row>
    <row r="52" spans="1:6" ht="14.25">
      <c r="A52" s="2"/>
      <c r="B52" s="2"/>
      <c r="C52" s="2"/>
      <c r="D52" s="2"/>
      <c r="E52" s="2"/>
      <c r="F52" s="2"/>
    </row>
    <row r="53" spans="1:6" ht="14.25">
      <c r="A53" s="2"/>
      <c r="B53" s="2"/>
      <c r="C53" s="2"/>
      <c r="D53" s="2"/>
      <c r="E53" s="2"/>
      <c r="F53" s="2"/>
    </row>
    <row r="54" spans="1:6" ht="14.25">
      <c r="A54" s="2"/>
      <c r="B54" s="2"/>
      <c r="C54" s="2"/>
      <c r="D54" s="2"/>
      <c r="E54" s="2"/>
      <c r="F54" s="2"/>
    </row>
    <row r="55" spans="1:6" ht="14.25">
      <c r="A55" s="2"/>
      <c r="B55" s="2"/>
      <c r="C55" s="2"/>
      <c r="D55" s="2"/>
      <c r="E55" s="2"/>
      <c r="F55" s="2"/>
    </row>
    <row r="56" spans="1:6" ht="14.25">
      <c r="A56" s="2"/>
      <c r="B56" s="2"/>
      <c r="C56" s="2"/>
      <c r="D56" s="2"/>
      <c r="E56" s="2"/>
      <c r="F56" s="2"/>
    </row>
    <row r="57" spans="1:6" ht="17.25">
      <c r="A57" s="16"/>
      <c r="B57" s="4"/>
      <c r="C57" s="4"/>
      <c r="D57" s="4"/>
      <c r="E57" s="4"/>
      <c r="F57" s="2"/>
    </row>
    <row r="58" spans="1:6" ht="14.25">
      <c r="A58" s="2"/>
      <c r="B58" s="2"/>
      <c r="C58" s="2"/>
      <c r="D58" s="2"/>
      <c r="E58" s="2"/>
      <c r="F58" s="2"/>
    </row>
    <row r="59" spans="1:6" ht="14.25">
      <c r="A59" s="2"/>
      <c r="B59" s="2"/>
      <c r="C59" s="2"/>
      <c r="D59" s="2"/>
      <c r="E59" s="2"/>
      <c r="F59" s="2"/>
    </row>
    <row r="60" spans="1:6" ht="14.25">
      <c r="A60" s="2"/>
      <c r="B60" s="3"/>
      <c r="C60" s="3"/>
      <c r="D60" s="2"/>
      <c r="E60" s="2"/>
      <c r="F60" s="2"/>
    </row>
    <row r="61" spans="1:6" ht="14.25">
      <c r="A61" s="2"/>
      <c r="B61" s="3"/>
      <c r="C61" s="3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7"/>
      <c r="D64" s="2"/>
      <c r="E64" s="2"/>
      <c r="F64" s="2"/>
    </row>
    <row r="65" spans="1:6" ht="14.25">
      <c r="A65" s="2"/>
      <c r="B65" s="2"/>
      <c r="C65" s="27"/>
      <c r="D65" s="2"/>
      <c r="E65" s="2"/>
      <c r="F65" s="2"/>
    </row>
    <row r="66" spans="1:6" ht="14.25">
      <c r="A66" s="2"/>
      <c r="B66" s="2"/>
      <c r="C66" s="27"/>
      <c r="D66" s="2"/>
      <c r="E66" s="2"/>
      <c r="F66" s="2"/>
    </row>
    <row r="67" spans="1:6" ht="14.25">
      <c r="A67" s="2"/>
      <c r="B67" s="2"/>
      <c r="C67" s="27"/>
      <c r="D67" s="2"/>
      <c r="E67" s="2"/>
      <c r="F67" s="2"/>
    </row>
    <row r="68" spans="1:6" ht="14.25">
      <c r="A68" s="28"/>
      <c r="B68" s="28"/>
      <c r="C68" s="27"/>
      <c r="D68" s="2"/>
      <c r="E68" s="2"/>
      <c r="F68" s="2"/>
    </row>
    <row r="69" spans="1:6" ht="14.25">
      <c r="A69" s="28"/>
      <c r="B69" s="28"/>
      <c r="C69" s="27"/>
      <c r="D69" s="2"/>
      <c r="E69" s="2"/>
      <c r="F69" s="2"/>
    </row>
    <row r="70" spans="1:6" ht="14.25">
      <c r="A70" s="43"/>
      <c r="B70" s="43"/>
      <c r="C70" s="43"/>
      <c r="D70" s="2"/>
      <c r="E70" s="2"/>
      <c r="F70" s="2"/>
    </row>
    <row r="71" spans="1:6" ht="14.25">
      <c r="A71" s="43"/>
      <c r="B71" s="43"/>
      <c r="C71" s="43"/>
      <c r="D71" s="2"/>
      <c r="E71" s="2"/>
      <c r="F71" s="2"/>
    </row>
    <row r="72" spans="1:6" ht="14.25">
      <c r="A72" s="2"/>
      <c r="B72" s="2"/>
      <c r="C72" s="2"/>
      <c r="D72" s="2"/>
      <c r="E72" s="2"/>
      <c r="F72" s="2"/>
    </row>
    <row r="73" spans="1:6" ht="14.25">
      <c r="A73" s="43"/>
      <c r="B73" s="43"/>
      <c r="C73" s="2"/>
      <c r="D73" s="2"/>
      <c r="E73" s="2"/>
      <c r="F73" s="2"/>
    </row>
  </sheetData>
  <sheetProtection/>
  <mergeCells count="2">
    <mergeCell ref="A31:B31"/>
    <mergeCell ref="A32:B32"/>
  </mergeCells>
  <printOptions/>
  <pageMargins left="0.75" right="0.75" top="1" bottom="1" header="0.512" footer="0.51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産婦人科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正和</dc:creator>
  <cp:keywords/>
  <dc:description/>
  <cp:lastModifiedBy>stat</cp:lastModifiedBy>
  <cp:lastPrinted>2007-02-18T22:55:11Z</cp:lastPrinted>
  <dcterms:created xsi:type="dcterms:W3CDTF">1971-01-12T16:39:47Z</dcterms:created>
  <dcterms:modified xsi:type="dcterms:W3CDTF">2013-02-01T08:40:10Z</dcterms:modified>
  <cp:category/>
  <cp:version/>
  <cp:contentType/>
  <cp:contentStatus/>
</cp:coreProperties>
</file>