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525" activeTab="0"/>
  </bookViews>
  <sheets>
    <sheet name="Chochran" sheetId="1" r:id="rId1"/>
    <sheet name="M-H" sheetId="2" r:id="rId2"/>
    <sheet name="odds" sheetId="3" r:id="rId3"/>
  </sheets>
  <definedNames/>
  <calcPr fullCalcOnLoad="1"/>
</workbook>
</file>

<file path=xl/sharedStrings.xml><?xml version="1.0" encoding="utf-8"?>
<sst xmlns="http://schemas.openxmlformats.org/spreadsheetml/2006/main" count="115" uniqueCount="43">
  <si>
    <t>例題13（表20）</t>
  </si>
  <si>
    <t>年齢</t>
  </si>
  <si>
    <t>（才）</t>
  </si>
  <si>
    <t>実施者数</t>
  </si>
  <si>
    <t>精検数</t>
  </si>
  <si>
    <t>精検率</t>
  </si>
  <si>
    <t>男性</t>
  </si>
  <si>
    <t>～39</t>
  </si>
  <si>
    <t>～39</t>
  </si>
  <si>
    <t>40～49</t>
  </si>
  <si>
    <t>40～49</t>
  </si>
  <si>
    <t>50～59</t>
  </si>
  <si>
    <t>50～59</t>
  </si>
  <si>
    <t>60～69</t>
  </si>
  <si>
    <t>60～69</t>
  </si>
  <si>
    <t>70～</t>
  </si>
  <si>
    <t>70～</t>
  </si>
  <si>
    <t>女性</t>
  </si>
  <si>
    <t>手順</t>
  </si>
  <si>
    <t>⊿ｐ</t>
  </si>
  <si>
    <t>ｎ．</t>
  </si>
  <si>
    <r>
      <t>ｐ</t>
    </r>
    <r>
      <rPr>
        <vertAlign val="superscript"/>
        <sz val="11"/>
        <rFont val="ＭＳ Ｐゴシック"/>
        <family val="3"/>
      </rPr>
      <t>bar</t>
    </r>
  </si>
  <si>
    <r>
      <t>q</t>
    </r>
    <r>
      <rPr>
        <vertAlign val="superscript"/>
        <sz val="11"/>
        <rFont val="ＭＳ Ｐゴシック"/>
        <family val="3"/>
      </rPr>
      <t>bar</t>
    </r>
  </si>
  <si>
    <t>d</t>
  </si>
  <si>
    <t>w</t>
  </si>
  <si>
    <t>w・d</t>
  </si>
  <si>
    <t>w・d^2</t>
  </si>
  <si>
    <t>合計</t>
  </si>
  <si>
    <t>(total)</t>
  </si>
  <si>
    <t>(homog.)</t>
  </si>
  <si>
    <t>(assoc.)</t>
  </si>
  <si>
    <r>
      <t>KAI</t>
    </r>
    <r>
      <rPr>
        <vertAlign val="subscript"/>
        <sz val="16"/>
        <rFont val="ＭＳ Ｐゴシック"/>
        <family val="3"/>
      </rPr>
      <t>0</t>
    </r>
    <r>
      <rPr>
        <vertAlign val="superscript"/>
        <sz val="16"/>
        <rFont val="ＭＳ Ｐゴシック"/>
        <family val="3"/>
      </rPr>
      <t>2</t>
    </r>
    <r>
      <rPr>
        <sz val="16"/>
        <rFont val="ＭＳ Ｐゴシック"/>
        <family val="3"/>
      </rPr>
      <t>=</t>
    </r>
  </si>
  <si>
    <r>
      <t>KAI</t>
    </r>
    <r>
      <rPr>
        <vertAlign val="subscript"/>
        <sz val="16"/>
        <rFont val="ＭＳ Ｐゴシック"/>
        <family val="3"/>
      </rPr>
      <t>h</t>
    </r>
    <r>
      <rPr>
        <vertAlign val="superscript"/>
        <sz val="16"/>
        <rFont val="ＭＳ Ｐゴシック"/>
        <family val="3"/>
      </rPr>
      <t>2</t>
    </r>
    <r>
      <rPr>
        <sz val="16"/>
        <rFont val="ＭＳ Ｐゴシック"/>
        <family val="3"/>
      </rPr>
      <t>=</t>
    </r>
  </si>
  <si>
    <r>
      <t>KAI</t>
    </r>
    <r>
      <rPr>
        <vertAlign val="subscript"/>
        <sz val="16"/>
        <rFont val="ＭＳ Ｐゴシック"/>
        <family val="3"/>
      </rPr>
      <t>a</t>
    </r>
    <r>
      <rPr>
        <vertAlign val="superscript"/>
        <sz val="16"/>
        <rFont val="ＭＳ Ｐゴシック"/>
        <family val="3"/>
      </rPr>
      <t>2</t>
    </r>
    <r>
      <rPr>
        <sz val="16"/>
        <rFont val="ＭＳ Ｐゴシック"/>
        <family val="3"/>
      </rPr>
      <t>=</t>
    </r>
  </si>
  <si>
    <t>χ^2分布の値</t>
  </si>
  <si>
    <t>自由度（φ）</t>
  </si>
  <si>
    <t>有意水準（α）</t>
  </si>
  <si>
    <t>χ^2値</t>
  </si>
  <si>
    <t>「表示」→「数式バー(F)にチェック」</t>
  </si>
  <si>
    <t>p1</t>
  </si>
  <si>
    <t>p2</t>
  </si>
  <si>
    <t>q1</t>
  </si>
  <si>
    <t>q2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</si>
</sst>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6"/>
      <name val="ＭＳ Ｐゴシック"/>
      <family val="3"/>
    </font>
    <font>
      <vertAlign val="subscript"/>
      <sz val="16"/>
      <name val="ＭＳ Ｐゴシック"/>
      <family val="3"/>
    </font>
    <font>
      <vertAlign val="superscript"/>
      <sz val="1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177" fontId="0" fillId="0" borderId="15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77" fontId="0" fillId="0" borderId="24" xfId="0" applyNumberFormat="1" applyBorder="1" applyAlignment="1">
      <alignment horizontal="center"/>
    </xf>
    <xf numFmtId="177" fontId="0" fillId="0" borderId="24" xfId="0" applyNumberFormat="1" applyBorder="1" applyAlignment="1">
      <alignment/>
    </xf>
    <xf numFmtId="177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7" fontId="0" fillId="0" borderId="28" xfId="0" applyNumberFormat="1" applyBorder="1" applyAlignment="1">
      <alignment horizontal="center"/>
    </xf>
    <xf numFmtId="177" fontId="0" fillId="0" borderId="29" xfId="0" applyNumberForma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176" fontId="0" fillId="0" borderId="32" xfId="0" applyNumberFormat="1" applyBorder="1" applyAlignment="1">
      <alignment horizontal="center"/>
    </xf>
    <xf numFmtId="176" fontId="0" fillId="0" borderId="33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6" fillId="0" borderId="11" xfId="0" applyNumberFormat="1" applyFon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6" xfId="0" applyNumberFormat="1" applyBorder="1" applyAlignment="1">
      <alignment/>
    </xf>
    <xf numFmtId="176" fontId="0" fillId="0" borderId="24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177" fontId="0" fillId="0" borderId="37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14" xfId="0" applyFill="1" applyBorder="1" applyAlignment="1">
      <alignment/>
    </xf>
    <xf numFmtId="177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177" fontId="0" fillId="0" borderId="17" xfId="0" applyNumberFormat="1" applyBorder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39" xfId="0" applyBorder="1" applyAlignment="1">
      <alignment/>
    </xf>
    <xf numFmtId="176" fontId="0" fillId="0" borderId="10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76" fontId="0" fillId="0" borderId="50" xfId="0" applyNumberFormat="1" applyBorder="1" applyAlignment="1">
      <alignment horizontal="center"/>
    </xf>
    <xf numFmtId="177" fontId="0" fillId="0" borderId="32" xfId="0" applyNumberFormat="1" applyBorder="1" applyAlignment="1">
      <alignment horizontal="center"/>
    </xf>
    <xf numFmtId="176" fontId="0" fillId="0" borderId="10" xfId="0" applyNumberFormat="1" applyBorder="1" applyAlignment="1">
      <alignment/>
    </xf>
    <xf numFmtId="176" fontId="0" fillId="0" borderId="24" xfId="0" applyNumberFormat="1" applyBorder="1" applyAlignment="1">
      <alignment/>
    </xf>
    <xf numFmtId="177" fontId="0" fillId="0" borderId="24" xfId="0" applyNumberFormat="1" applyBorder="1" applyAlignment="1">
      <alignment/>
    </xf>
    <xf numFmtId="176" fontId="0" fillId="0" borderId="26" xfId="0" applyNumberFormat="1" applyBorder="1" applyAlignment="1">
      <alignment horizontal="center"/>
    </xf>
    <xf numFmtId="176" fontId="0" fillId="0" borderId="27" xfId="0" applyNumberFormat="1" applyBorder="1" applyAlignment="1">
      <alignment horizontal="center"/>
    </xf>
    <xf numFmtId="177" fontId="0" fillId="0" borderId="26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Border="1" applyAlignment="1">
      <alignment/>
    </xf>
    <xf numFmtId="176" fontId="6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T37" sqref="T37"/>
    </sheetView>
  </sheetViews>
  <sheetFormatPr defaultColWidth="9.00390625" defaultRowHeight="13.5"/>
  <sheetData>
    <row r="1" ht="13.5">
      <c r="A1" t="s">
        <v>0</v>
      </c>
    </row>
    <row r="2" ht="14.25" thickBot="1"/>
    <row r="3" spans="2:8" ht="13.5">
      <c r="B3" s="60" t="s">
        <v>1</v>
      </c>
      <c r="C3" s="3"/>
      <c r="D3" s="4" t="s">
        <v>6</v>
      </c>
      <c r="E3" s="5"/>
      <c r="F3" s="65"/>
      <c r="G3" s="4" t="s">
        <v>17</v>
      </c>
      <c r="H3" s="5"/>
    </row>
    <row r="4" spans="2:19" ht="14.25" thickBot="1">
      <c r="B4" s="61" t="s">
        <v>2</v>
      </c>
      <c r="C4" s="19" t="s">
        <v>3</v>
      </c>
      <c r="D4" s="20" t="s">
        <v>4</v>
      </c>
      <c r="E4" s="21" t="s">
        <v>5</v>
      </c>
      <c r="F4" s="66" t="s">
        <v>3</v>
      </c>
      <c r="G4" s="20" t="s">
        <v>4</v>
      </c>
      <c r="H4" s="21" t="s">
        <v>5</v>
      </c>
      <c r="I4" s="82"/>
      <c r="J4" s="82"/>
      <c r="K4" s="82"/>
      <c r="L4" s="82"/>
      <c r="M4" s="83"/>
      <c r="N4" s="83"/>
      <c r="O4" s="83"/>
      <c r="P4" s="83"/>
      <c r="Q4" s="83"/>
      <c r="R4" s="83"/>
      <c r="S4" s="83"/>
    </row>
    <row r="5" spans="2:15" ht="13.5">
      <c r="B5" s="62" t="s">
        <v>8</v>
      </c>
      <c r="C5" s="15">
        <v>53</v>
      </c>
      <c r="D5" s="16">
        <v>4</v>
      </c>
      <c r="E5" s="17">
        <f>IF(ISERROR(D5/C5),"",D5/C5)</f>
        <v>0.07547169811320754</v>
      </c>
      <c r="F5" s="67">
        <v>8</v>
      </c>
      <c r="G5" s="16">
        <v>1</v>
      </c>
      <c r="H5" s="17">
        <f>IF(ISERROR(G5/F5),"",G5/F5)</f>
        <v>0.125</v>
      </c>
      <c r="M5" s="84"/>
      <c r="N5" s="84"/>
      <c r="O5" s="84"/>
    </row>
    <row r="6" spans="2:15" ht="13.5">
      <c r="B6" s="63" t="s">
        <v>10</v>
      </c>
      <c r="C6" s="6">
        <v>186</v>
      </c>
      <c r="D6" s="2">
        <v>9</v>
      </c>
      <c r="E6" s="7">
        <f aca="true" t="shared" si="0" ref="E6:E14">IF(ISERROR(D6/C6),"",D6/C6)</f>
        <v>0.04838709677419355</v>
      </c>
      <c r="F6" s="68">
        <v>91</v>
      </c>
      <c r="G6" s="2">
        <v>2</v>
      </c>
      <c r="H6" s="7">
        <f aca="true" t="shared" si="1" ref="H6:H14">IF(ISERROR(G6/F6),"",G6/F6)</f>
        <v>0.02197802197802198</v>
      </c>
      <c r="M6" s="84"/>
      <c r="N6" s="84"/>
      <c r="O6" s="84"/>
    </row>
    <row r="7" spans="2:15" ht="13.5">
      <c r="B7" s="63" t="s">
        <v>12</v>
      </c>
      <c r="C7" s="6">
        <v>138</v>
      </c>
      <c r="D7" s="2">
        <v>11</v>
      </c>
      <c r="E7" s="7">
        <f t="shared" si="0"/>
        <v>0.07971014492753623</v>
      </c>
      <c r="F7" s="68">
        <v>31</v>
      </c>
      <c r="G7" s="2">
        <v>1</v>
      </c>
      <c r="H7" s="7">
        <f t="shared" si="1"/>
        <v>0.03225806451612903</v>
      </c>
      <c r="M7" s="84"/>
      <c r="N7" s="84"/>
      <c r="O7" s="84"/>
    </row>
    <row r="8" spans="2:15" ht="13.5">
      <c r="B8" s="63" t="s">
        <v>14</v>
      </c>
      <c r="C8" s="6">
        <v>39</v>
      </c>
      <c r="D8" s="2">
        <v>7</v>
      </c>
      <c r="E8" s="7">
        <f t="shared" si="0"/>
        <v>0.1794871794871795</v>
      </c>
      <c r="F8" s="68">
        <v>8</v>
      </c>
      <c r="G8" s="2">
        <v>1</v>
      </c>
      <c r="H8" s="7">
        <f t="shared" si="1"/>
        <v>0.125</v>
      </c>
      <c r="M8" s="84"/>
      <c r="N8" s="84"/>
      <c r="O8" s="84"/>
    </row>
    <row r="9" spans="2:15" ht="13.5">
      <c r="B9" s="63" t="s">
        <v>16</v>
      </c>
      <c r="C9" s="6">
        <v>4</v>
      </c>
      <c r="D9" s="2">
        <v>2</v>
      </c>
      <c r="E9" s="7">
        <f t="shared" si="0"/>
        <v>0.5</v>
      </c>
      <c r="F9" s="68">
        <v>6</v>
      </c>
      <c r="G9" s="2">
        <v>1</v>
      </c>
      <c r="H9" s="7">
        <f t="shared" si="1"/>
        <v>0.16666666666666666</v>
      </c>
      <c r="M9" s="84"/>
      <c r="N9" s="84"/>
      <c r="O9" s="84"/>
    </row>
    <row r="10" spans="2:8" ht="13.5">
      <c r="B10" s="63"/>
      <c r="C10" s="71"/>
      <c r="D10" s="59"/>
      <c r="E10" s="7">
        <f t="shared" si="0"/>
      </c>
      <c r="F10" s="69"/>
      <c r="G10" s="59"/>
      <c r="H10" s="7">
        <f t="shared" si="1"/>
      </c>
    </row>
    <row r="11" spans="2:8" ht="13.5">
      <c r="B11" s="63"/>
      <c r="C11" s="6"/>
      <c r="D11" s="2"/>
      <c r="E11" s="7">
        <f t="shared" si="0"/>
      </c>
      <c r="F11" s="68"/>
      <c r="G11" s="2"/>
      <c r="H11" s="7">
        <f t="shared" si="1"/>
      </c>
    </row>
    <row r="12" spans="2:8" ht="13.5">
      <c r="B12" s="63"/>
      <c r="C12" s="6"/>
      <c r="D12" s="2"/>
      <c r="E12" s="7">
        <f t="shared" si="0"/>
      </c>
      <c r="F12" s="68"/>
      <c r="G12" s="2"/>
      <c r="H12" s="7">
        <f t="shared" si="1"/>
      </c>
    </row>
    <row r="13" spans="2:8" ht="13.5">
      <c r="B13" s="63"/>
      <c r="C13" s="6"/>
      <c r="D13" s="2"/>
      <c r="E13" s="7">
        <f t="shared" si="0"/>
      </c>
      <c r="F13" s="68"/>
      <c r="G13" s="2"/>
      <c r="H13" s="7">
        <f t="shared" si="1"/>
      </c>
    </row>
    <row r="14" spans="2:8" ht="14.25" thickBot="1">
      <c r="B14" s="64"/>
      <c r="C14" s="8"/>
      <c r="D14" s="9"/>
      <c r="E14" s="10">
        <f t="shared" si="0"/>
      </c>
      <c r="F14" s="70"/>
      <c r="G14" s="9"/>
      <c r="H14" s="10">
        <f t="shared" si="1"/>
      </c>
    </row>
    <row r="16" spans="1:7" ht="13.5">
      <c r="A16" t="s">
        <v>18</v>
      </c>
      <c r="B16" t="s">
        <v>38</v>
      </c>
      <c r="E16" s="22"/>
      <c r="G16" s="1"/>
    </row>
    <row r="17" ht="14.25" thickBot="1"/>
    <row r="18" spans="2:10" ht="16.5" thickBot="1">
      <c r="B18" s="78" t="s">
        <v>1</v>
      </c>
      <c r="C18" s="41" t="s">
        <v>19</v>
      </c>
      <c r="D18" s="87" t="s">
        <v>20</v>
      </c>
      <c r="E18" s="41" t="s">
        <v>21</v>
      </c>
      <c r="F18" s="79" t="s">
        <v>22</v>
      </c>
      <c r="G18" s="80" t="s">
        <v>23</v>
      </c>
      <c r="H18" s="80" t="s">
        <v>24</v>
      </c>
      <c r="I18" s="80" t="s">
        <v>25</v>
      </c>
      <c r="J18" s="81" t="s">
        <v>26</v>
      </c>
    </row>
    <row r="19" spans="2:10" ht="13.5">
      <c r="B19" s="85" t="s">
        <v>7</v>
      </c>
      <c r="C19" s="49">
        <f>IF(ISERROR(E5-H5),"",E5-H5)</f>
        <v>-0.049528301886792456</v>
      </c>
      <c r="D19" s="4">
        <f>IF(ISERROR(C5/F5),"",C5+F5)</f>
        <v>61</v>
      </c>
      <c r="E19" s="93">
        <f>(C5*E5+F5*H5)/D19</f>
        <v>0.08196721311475409</v>
      </c>
      <c r="F19" s="72">
        <f>IF(ISERROR(1/E19),"",1-E19)</f>
        <v>0.9180327868852459</v>
      </c>
      <c r="G19" s="73">
        <f>IF(ISERROR(C19/E19),"",C19/(E19*F19))</f>
        <v>-0.6581957547169811</v>
      </c>
      <c r="H19" s="72">
        <f>IF(ISERROR(E19*F19*C5*F5/D19),"",E19*F19*C5*F5/D19)</f>
        <v>0.5230393733396187</v>
      </c>
      <c r="I19" s="72">
        <f>IF(ISERROR(G19/H19),"",G19*H19)</f>
        <v>-0.34426229508196715</v>
      </c>
      <c r="J19" s="74">
        <f>IF(ISERROR(H19/G19),"",H19*G19^2)</f>
        <v>0.22659198113207543</v>
      </c>
    </row>
    <row r="20" spans="2:10" ht="13.5">
      <c r="B20" s="63" t="s">
        <v>9</v>
      </c>
      <c r="C20" s="86">
        <f>IF(ISERROR(E6-H6),"",E6-H6)</f>
        <v>0.026409074796171567</v>
      </c>
      <c r="D20" s="23">
        <f aca="true" t="shared" si="2" ref="D20:D28">IF(ISERROR(C6/F6),"",C6+F6)</f>
        <v>277</v>
      </c>
      <c r="E20" s="93">
        <f>(C6*E6+F6*H6)/D20</f>
        <v>0.039711191335740074</v>
      </c>
      <c r="F20" s="24">
        <f aca="true" t="shared" si="3" ref="F20:F28">IF(ISERROR(1/E20),"",1-E20)</f>
        <v>0.9602888086642599</v>
      </c>
      <c r="G20" s="25">
        <f aca="true" t="shared" si="4" ref="G20:G28">IF(ISERROR(C20/E20),"",C20/(E20*F20))</f>
        <v>0.6925296992602351</v>
      </c>
      <c r="H20" s="24">
        <f aca="true" t="shared" si="5" ref="H20:H28">IF(ISERROR(E20*F20*C6*F6/D20),"",E20*F20*C6*F6/D20)</f>
        <v>2.3301793602153538</v>
      </c>
      <c r="I20" s="24">
        <f aca="true" t="shared" si="6" ref="I20:I28">IF(ISERROR(G20/H20),"",G20*H20)</f>
        <v>1.613718411552346</v>
      </c>
      <c r="J20" s="27">
        <f aca="true" t="shared" si="7" ref="J20:J28">IF(ISERROR(H20/G20),"",H20*G20^2)</f>
        <v>1.1175479262430505</v>
      </c>
    </row>
    <row r="21" spans="2:10" ht="13.5">
      <c r="B21" s="63" t="s">
        <v>11</v>
      </c>
      <c r="C21" s="86">
        <f>IF(ISERROR(E7-H7),"",E7-H7)</f>
        <v>0.047452080411407194</v>
      </c>
      <c r="D21" s="23">
        <f t="shared" si="2"/>
        <v>169</v>
      </c>
      <c r="E21" s="93">
        <f>(C7*E7+F7*H7)/D21</f>
        <v>0.0710059171597633</v>
      </c>
      <c r="F21" s="24">
        <f t="shared" si="3"/>
        <v>0.9289940828402367</v>
      </c>
      <c r="G21" s="25">
        <f t="shared" si="4"/>
        <v>0.7193624568100855</v>
      </c>
      <c r="H21" s="24">
        <f t="shared" si="5"/>
        <v>1.6697888812256707</v>
      </c>
      <c r="I21" s="24">
        <f t="shared" si="6"/>
        <v>1.2011834319526624</v>
      </c>
      <c r="J21" s="27">
        <f t="shared" si="7"/>
        <v>0.8640862646890375</v>
      </c>
    </row>
    <row r="22" spans="2:10" ht="13.5">
      <c r="B22" s="63" t="s">
        <v>13</v>
      </c>
      <c r="C22" s="86">
        <f>IF(ISERROR(E8-H8),"",E8-H8)</f>
        <v>0.05448717948717949</v>
      </c>
      <c r="D22" s="23">
        <f t="shared" si="2"/>
        <v>47</v>
      </c>
      <c r="E22" s="93">
        <f>(C8*E8+F8*H8)/D22</f>
        <v>0.1702127659574468</v>
      </c>
      <c r="F22" s="24">
        <f t="shared" si="3"/>
        <v>0.8297872340425532</v>
      </c>
      <c r="G22" s="25">
        <f t="shared" si="4"/>
        <v>0.3857762163050625</v>
      </c>
      <c r="H22" s="24">
        <f t="shared" si="5"/>
        <v>0.9375957157855196</v>
      </c>
      <c r="I22" s="24">
        <f t="shared" si="6"/>
        <v>0.3617021276595745</v>
      </c>
      <c r="J22" s="27">
        <f t="shared" si="7"/>
        <v>0.13953607823800132</v>
      </c>
    </row>
    <row r="23" spans="2:10" ht="13.5">
      <c r="B23" s="63" t="s">
        <v>15</v>
      </c>
      <c r="C23" s="86">
        <f>IF(ISERROR(E9-H9),"",E9-H9)</f>
        <v>0.33333333333333337</v>
      </c>
      <c r="D23" s="23">
        <f t="shared" si="2"/>
        <v>10</v>
      </c>
      <c r="E23" s="93">
        <f>(C9*E9+F9*H9)/D23</f>
        <v>0.3</v>
      </c>
      <c r="F23" s="24">
        <f t="shared" si="3"/>
        <v>0.7</v>
      </c>
      <c r="G23" s="25">
        <f t="shared" si="4"/>
        <v>1.5873015873015874</v>
      </c>
      <c r="H23" s="24">
        <f t="shared" si="5"/>
        <v>0.504</v>
      </c>
      <c r="I23" s="24">
        <f t="shared" si="6"/>
        <v>0.8</v>
      </c>
      <c r="J23" s="27">
        <f t="shared" si="7"/>
        <v>1.26984126984127</v>
      </c>
    </row>
    <row r="24" spans="2:10" ht="13.5">
      <c r="B24" s="12"/>
      <c r="C24" s="39">
        <f>IF(ISERROR(E10-H10),"",ABS(E10-H10))</f>
      </c>
      <c r="D24" s="23">
        <f t="shared" si="2"/>
      </c>
      <c r="E24" s="24">
        <f>IF(ISERROR(E10/H10),"",(E10+H10)/2)</f>
      </c>
      <c r="F24" s="24">
        <f t="shared" si="3"/>
      </c>
      <c r="G24" s="25">
        <f t="shared" si="4"/>
      </c>
      <c r="H24" s="24">
        <f t="shared" si="5"/>
      </c>
      <c r="I24" s="24">
        <f t="shared" si="6"/>
      </c>
      <c r="J24" s="27">
        <f t="shared" si="7"/>
      </c>
    </row>
    <row r="25" spans="2:10" ht="13.5">
      <c r="B25" s="12"/>
      <c r="C25" s="39">
        <f>IF(ISERROR(E11-H11),"",ABS(E11-H11))</f>
      </c>
      <c r="D25" s="23">
        <f t="shared" si="2"/>
      </c>
      <c r="E25" s="24">
        <f>IF(ISERROR(E11/H11),"",(E11+H11)/2)</f>
      </c>
      <c r="F25" s="24">
        <f t="shared" si="3"/>
      </c>
      <c r="G25" s="25">
        <f t="shared" si="4"/>
      </c>
      <c r="H25" s="24">
        <f t="shared" si="5"/>
      </c>
      <c r="I25" s="24">
        <f t="shared" si="6"/>
      </c>
      <c r="J25" s="27">
        <f t="shared" si="7"/>
      </c>
    </row>
    <row r="26" spans="2:10" ht="13.5">
      <c r="B26" s="12"/>
      <c r="C26" s="39">
        <f>IF(ISERROR(E12-H12),"",ABS(E12-H12))</f>
      </c>
      <c r="D26" s="23">
        <f t="shared" si="2"/>
      </c>
      <c r="E26" s="24">
        <f>IF(ISERROR(E12/H12),"",(E12+H12)/2)</f>
      </c>
      <c r="F26" s="24">
        <f t="shared" si="3"/>
      </c>
      <c r="G26" s="25">
        <f t="shared" si="4"/>
      </c>
      <c r="H26" s="24">
        <f t="shared" si="5"/>
      </c>
      <c r="I26" s="24">
        <f t="shared" si="6"/>
      </c>
      <c r="J26" s="27">
        <f t="shared" si="7"/>
      </c>
    </row>
    <row r="27" spans="2:10" ht="13.5">
      <c r="B27" s="12"/>
      <c r="C27" s="39">
        <f>IF(ISERROR(E13-H13),"",ABS(E13-H13))</f>
      </c>
      <c r="D27" s="23">
        <f t="shared" si="2"/>
      </c>
      <c r="E27" s="24">
        <f>IF(ISERROR(E13/H13),"",(E13+H13)/2)</f>
      </c>
      <c r="F27" s="24">
        <f t="shared" si="3"/>
      </c>
      <c r="G27" s="25">
        <f t="shared" si="4"/>
      </c>
      <c r="H27" s="24">
        <f t="shared" si="5"/>
      </c>
      <c r="I27" s="24">
        <f t="shared" si="6"/>
      </c>
      <c r="J27" s="27">
        <f t="shared" si="7"/>
      </c>
    </row>
    <row r="28" spans="2:10" ht="14.25" thickBot="1">
      <c r="B28" s="13"/>
      <c r="C28" s="40">
        <f>IF(ISERROR(E14-H14),"",ABS(E14-H14))</f>
      </c>
      <c r="D28" s="20">
        <f t="shared" si="2"/>
      </c>
      <c r="E28" s="75">
        <f>IF(ISERROR(E14/H14),"",(E14+H14)/2)</f>
      </c>
      <c r="F28" s="75">
        <f t="shared" si="3"/>
      </c>
      <c r="G28" s="76">
        <f t="shared" si="4"/>
      </c>
      <c r="H28" s="75">
        <f t="shared" si="5"/>
      </c>
      <c r="I28" s="75">
        <f t="shared" si="6"/>
      </c>
      <c r="J28" s="77">
        <f t="shared" si="7"/>
      </c>
    </row>
    <row r="29" spans="6:10" ht="14.25" thickBot="1">
      <c r="F29" s="51" t="s">
        <v>27</v>
      </c>
      <c r="G29" s="52">
        <f>AVERAGE(G19:G25)</f>
        <v>0.5453548409919978</v>
      </c>
      <c r="H29" s="53">
        <f>SUM(H19:H25)</f>
        <v>5.964603330566163</v>
      </c>
      <c r="I29" s="53">
        <f>SUM(I19:I25)</f>
        <v>3.632341676082616</v>
      </c>
      <c r="J29" s="54">
        <f>SUM(J19:J28)</f>
        <v>3.617603520143435</v>
      </c>
    </row>
    <row r="30" spans="6:10" ht="13.5">
      <c r="F30" s="42"/>
      <c r="G30" s="43"/>
      <c r="H30" s="44"/>
      <c r="I30" s="44"/>
      <c r="J30" s="44"/>
    </row>
    <row r="31" ht="24" customHeight="1" thickBot="1">
      <c r="F31" s="1" t="s">
        <v>34</v>
      </c>
    </row>
    <row r="32" spans="2:10" ht="22.5" customHeight="1">
      <c r="B32" s="26" t="s">
        <v>31</v>
      </c>
      <c r="C32" s="1">
        <f>J29</f>
        <v>3.617603520143435</v>
      </c>
      <c r="D32" t="s">
        <v>28</v>
      </c>
      <c r="F32" s="45" t="s">
        <v>35</v>
      </c>
      <c r="G32" s="99" t="s">
        <v>36</v>
      </c>
      <c r="H32" s="100"/>
      <c r="I32" s="46" t="s">
        <v>37</v>
      </c>
      <c r="J32" s="1"/>
    </row>
    <row r="33" spans="2:10" ht="22.5" customHeight="1">
      <c r="B33" s="26" t="s">
        <v>32</v>
      </c>
      <c r="C33" s="1">
        <f>J29-J29^2/H29</f>
        <v>1.4234835588228987</v>
      </c>
      <c r="D33" t="s">
        <v>29</v>
      </c>
      <c r="F33" s="6">
        <v>5</v>
      </c>
      <c r="G33" s="101">
        <v>0.05</v>
      </c>
      <c r="H33" s="101"/>
      <c r="I33" s="7">
        <f>CHIINV(G33,F33)</f>
        <v>11.070497754622684</v>
      </c>
      <c r="J33" s="1"/>
    </row>
    <row r="34" spans="2:10" ht="22.5" customHeight="1">
      <c r="B34" s="26" t="s">
        <v>33</v>
      </c>
      <c r="C34" s="1">
        <f>C32-C33</f>
        <v>2.194119961320536</v>
      </c>
      <c r="D34" t="s">
        <v>30</v>
      </c>
      <c r="F34" s="47">
        <v>4</v>
      </c>
      <c r="G34" s="102">
        <v>0.05</v>
      </c>
      <c r="H34" s="103"/>
      <c r="I34" s="7">
        <f>CHIINV(G34,F34)</f>
        <v>9.487729036988851</v>
      </c>
      <c r="J34" s="1"/>
    </row>
    <row r="35" spans="6:10" ht="22.5" customHeight="1" thickBot="1">
      <c r="F35" s="48">
        <v>1</v>
      </c>
      <c r="G35" s="97">
        <v>0.05</v>
      </c>
      <c r="H35" s="98"/>
      <c r="I35" s="10">
        <f>CHIINV(G35,F35)</f>
        <v>3.841459149489757</v>
      </c>
      <c r="J35" s="1"/>
    </row>
    <row r="36" spans="6:10" ht="13.5">
      <c r="F36" s="1"/>
      <c r="G36" s="1"/>
      <c r="H36" s="1"/>
      <c r="I36" s="1"/>
      <c r="J36" s="1"/>
    </row>
    <row r="37" spans="6:10" ht="13.5">
      <c r="F37" s="1"/>
      <c r="G37" s="1"/>
      <c r="H37" s="1"/>
      <c r="I37" s="1"/>
      <c r="J37" s="1"/>
    </row>
  </sheetData>
  <sheetProtection/>
  <mergeCells count="4">
    <mergeCell ref="G35:H35"/>
    <mergeCell ref="G32:H32"/>
    <mergeCell ref="G33:H33"/>
    <mergeCell ref="G34:H3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24"/>
  <sheetViews>
    <sheetView zoomScalePageLayoutView="0" workbookViewId="0" topLeftCell="A1">
      <selection activeCell="N26" sqref="N26"/>
    </sheetView>
  </sheetViews>
  <sheetFormatPr defaultColWidth="9.00390625" defaultRowHeight="13.5"/>
  <sheetData>
    <row r="2" ht="14.25" thickBot="1"/>
    <row r="3" spans="2:8" ht="13.5">
      <c r="B3" s="11" t="s">
        <v>1</v>
      </c>
      <c r="C3" s="3"/>
      <c r="D3" s="4" t="s">
        <v>6</v>
      </c>
      <c r="E3" s="5"/>
      <c r="F3" s="3"/>
      <c r="G3" s="4" t="s">
        <v>17</v>
      </c>
      <c r="H3" s="5"/>
    </row>
    <row r="4" spans="2:8" ht="14.25" thickBot="1">
      <c r="B4" s="18" t="s">
        <v>2</v>
      </c>
      <c r="C4" s="19" t="s">
        <v>3</v>
      </c>
      <c r="D4" s="20" t="s">
        <v>4</v>
      </c>
      <c r="E4" s="21" t="s">
        <v>5</v>
      </c>
      <c r="F4" s="19" t="s">
        <v>3</v>
      </c>
      <c r="G4" s="20" t="s">
        <v>4</v>
      </c>
      <c r="H4" s="21" t="s">
        <v>5</v>
      </c>
    </row>
    <row r="5" spans="2:8" ht="13.5">
      <c r="B5" s="14" t="s">
        <v>8</v>
      </c>
      <c r="C5" s="15">
        <v>53</v>
      </c>
      <c r="D5" s="16">
        <v>4</v>
      </c>
      <c r="E5" s="17">
        <f>D5/C5</f>
        <v>0.07547169811320754</v>
      </c>
      <c r="F5" s="15">
        <v>8</v>
      </c>
      <c r="G5" s="16">
        <v>1</v>
      </c>
      <c r="H5" s="17">
        <f>G5/F5</f>
        <v>0.125</v>
      </c>
    </row>
    <row r="6" spans="2:8" ht="13.5">
      <c r="B6" s="12" t="s">
        <v>10</v>
      </c>
      <c r="C6" s="6">
        <v>186</v>
      </c>
      <c r="D6" s="2">
        <v>9</v>
      </c>
      <c r="E6" s="7">
        <f>D6/C6</f>
        <v>0.04838709677419355</v>
      </c>
      <c r="F6" s="6">
        <v>91</v>
      </c>
      <c r="G6" s="2">
        <v>2</v>
      </c>
      <c r="H6" s="7">
        <f>G6/F6</f>
        <v>0.02197802197802198</v>
      </c>
    </row>
    <row r="7" spans="2:8" ht="13.5">
      <c r="B7" s="12" t="s">
        <v>12</v>
      </c>
      <c r="C7" s="6">
        <v>138</v>
      </c>
      <c r="D7" s="2">
        <v>11</v>
      </c>
      <c r="E7" s="7">
        <f>D7/C7</f>
        <v>0.07971014492753623</v>
      </c>
      <c r="F7" s="6">
        <v>31</v>
      </c>
      <c r="G7" s="2">
        <v>1</v>
      </c>
      <c r="H7" s="7">
        <f>G7/F7</f>
        <v>0.03225806451612903</v>
      </c>
    </row>
    <row r="8" spans="2:8" ht="13.5">
      <c r="B8" s="12" t="s">
        <v>14</v>
      </c>
      <c r="C8" s="6">
        <v>39</v>
      </c>
      <c r="D8" s="2">
        <v>7</v>
      </c>
      <c r="E8" s="7">
        <f>D8/C8</f>
        <v>0.1794871794871795</v>
      </c>
      <c r="F8" s="6">
        <v>8</v>
      </c>
      <c r="G8" s="2">
        <v>1</v>
      </c>
      <c r="H8" s="7">
        <f>G8/F8</f>
        <v>0.125</v>
      </c>
    </row>
    <row r="9" spans="2:8" ht="14.25" thickBot="1">
      <c r="B9" s="13" t="s">
        <v>16</v>
      </c>
      <c r="C9" s="8">
        <v>4</v>
      </c>
      <c r="D9" s="9">
        <v>2</v>
      </c>
      <c r="E9" s="10">
        <f>D9/C9</f>
        <v>0.5</v>
      </c>
      <c r="F9" s="8">
        <v>6</v>
      </c>
      <c r="G9" s="9">
        <v>1</v>
      </c>
      <c r="H9" s="10">
        <f>G9/F9</f>
        <v>0.16666666666666666</v>
      </c>
    </row>
    <row r="10" spans="2:8" ht="13.5">
      <c r="B10" s="42"/>
      <c r="C10" s="50"/>
      <c r="D10" s="50"/>
      <c r="E10" s="44"/>
      <c r="F10" s="50"/>
      <c r="G10" s="50"/>
      <c r="H10" s="44"/>
    </row>
    <row r="12" ht="14.25" thickBot="1"/>
    <row r="13" spans="2:10" ht="16.5" thickBot="1">
      <c r="B13" s="41" t="s">
        <v>1</v>
      </c>
      <c r="C13" s="37" t="s">
        <v>19</v>
      </c>
      <c r="D13" s="32" t="s">
        <v>20</v>
      </c>
      <c r="E13" s="32" t="s">
        <v>21</v>
      </c>
      <c r="F13" s="32" t="s">
        <v>22</v>
      </c>
      <c r="G13" s="32" t="s">
        <v>23</v>
      </c>
      <c r="H13" s="32" t="s">
        <v>24</v>
      </c>
      <c r="I13" s="32" t="s">
        <v>25</v>
      </c>
      <c r="J13" s="33" t="s">
        <v>26</v>
      </c>
    </row>
    <row r="14" spans="2:10" ht="13.5">
      <c r="B14" s="14" t="s">
        <v>7</v>
      </c>
      <c r="C14" s="38">
        <f>E5-H5</f>
        <v>-0.049528301886792456</v>
      </c>
      <c r="D14" s="28">
        <f>C5+F5</f>
        <v>61</v>
      </c>
      <c r="E14" s="29">
        <f>(C5*E5+F5*H5)/D14</f>
        <v>0.08196721311475409</v>
      </c>
      <c r="F14" s="29">
        <f>1-E14</f>
        <v>0.9180327868852459</v>
      </c>
      <c r="G14" s="30">
        <f>(D14-1)*C14/(E14*F14*D14)</f>
        <v>-0.6474056603773586</v>
      </c>
      <c r="H14" s="29">
        <f>E14*F14*C5*F5/(D14-1)</f>
        <v>0.5317566962286124</v>
      </c>
      <c r="I14" s="29">
        <f>G14*H14</f>
        <v>-0.3442622950819673</v>
      </c>
      <c r="J14" s="31">
        <f>H14*G14^2</f>
        <v>0.2228773584905661</v>
      </c>
    </row>
    <row r="15" spans="2:10" ht="13.5">
      <c r="B15" s="12" t="s">
        <v>9</v>
      </c>
      <c r="C15" s="38">
        <f>E6-H6</f>
        <v>0.026409074796171567</v>
      </c>
      <c r="D15" s="23">
        <f>C6+F6</f>
        <v>277</v>
      </c>
      <c r="E15" s="29">
        <f>(C6*E6+F6*H6)/D15</f>
        <v>0.039711191335740074</v>
      </c>
      <c r="F15" s="24">
        <f>1-E15</f>
        <v>0.9602888086642599</v>
      </c>
      <c r="G15" s="30">
        <f>(D15-1)*C15/(E15*F15*D15)</f>
        <v>0.6900295920426891</v>
      </c>
      <c r="H15" s="29">
        <f>E15*F15*C6*F6/(D15-1)</f>
        <v>2.338622039056714</v>
      </c>
      <c r="I15" s="24">
        <f>G15*H15</f>
        <v>1.613718411552346</v>
      </c>
      <c r="J15" s="27">
        <f>H15*G15^2</f>
        <v>1.1135134571952416</v>
      </c>
    </row>
    <row r="16" spans="2:10" ht="13.5">
      <c r="B16" s="12" t="s">
        <v>11</v>
      </c>
      <c r="C16" s="38">
        <f>E7-H7</f>
        <v>0.047452080411407194</v>
      </c>
      <c r="D16" s="23">
        <f>C7+F7</f>
        <v>169</v>
      </c>
      <c r="E16" s="29">
        <f>(C7*E7+F7*H7)/D16</f>
        <v>0.0710059171597633</v>
      </c>
      <c r="F16" s="24">
        <f>1-E16</f>
        <v>0.9289940828402367</v>
      </c>
      <c r="G16" s="30">
        <f>(D16-1)*C16/(E16*F16*D16)</f>
        <v>0.7151058742254105</v>
      </c>
      <c r="H16" s="29">
        <f>E16*F16*C7*F7/(D16-1)</f>
        <v>1.6797281007567757</v>
      </c>
      <c r="I16" s="24">
        <f>G16*H16</f>
        <v>1.2011834319526624</v>
      </c>
      <c r="J16" s="27">
        <f>H16*G16^2</f>
        <v>0.8589733282115877</v>
      </c>
    </row>
    <row r="17" spans="2:10" ht="13.5">
      <c r="B17" s="12" t="s">
        <v>13</v>
      </c>
      <c r="C17" s="38">
        <f>E8-H8</f>
        <v>0.05448717948717949</v>
      </c>
      <c r="D17" s="23">
        <f>C8+F8</f>
        <v>47</v>
      </c>
      <c r="E17" s="29">
        <f>(C8*E8+F8*H8)/D17</f>
        <v>0.1702127659574468</v>
      </c>
      <c r="F17" s="24">
        <f>1-E17</f>
        <v>0.8297872340425532</v>
      </c>
      <c r="G17" s="30">
        <f>(D17-1)*C17/(E17*F17*D17)</f>
        <v>0.3775682117028271</v>
      </c>
      <c r="H17" s="29">
        <f>E17*F17*C8*F8/(D17-1)</f>
        <v>0.9579782313460743</v>
      </c>
      <c r="I17" s="24">
        <f>G17*H17</f>
        <v>0.3617021276595745</v>
      </c>
      <c r="J17" s="27">
        <f>H17*G17^2</f>
        <v>0.1365672255095332</v>
      </c>
    </row>
    <row r="18" spans="2:10" ht="14.25" thickBot="1">
      <c r="B18" s="13" t="s">
        <v>15</v>
      </c>
      <c r="C18" s="38">
        <f>E9-H9</f>
        <v>0.33333333333333337</v>
      </c>
      <c r="D18" s="20">
        <f>C9+F9</f>
        <v>10</v>
      </c>
      <c r="E18" s="29">
        <f>(C9*E9+F9*H9)/D18</f>
        <v>0.3</v>
      </c>
      <c r="F18" s="75">
        <f>1-E18</f>
        <v>0.7</v>
      </c>
      <c r="G18" s="76">
        <f>(D18-1)*C18/(E18*F18*D18)</f>
        <v>1.4285714285714288</v>
      </c>
      <c r="H18" s="75">
        <f>E18*F18*C9*F9/(D18-1)</f>
        <v>0.56</v>
      </c>
      <c r="I18" s="75">
        <f>G18*H18</f>
        <v>0.8000000000000003</v>
      </c>
      <c r="J18" s="77">
        <f>H18*G18^2</f>
        <v>1.1428571428571435</v>
      </c>
    </row>
    <row r="19" spans="2:10" ht="14.25" thickBot="1">
      <c r="B19" s="42"/>
      <c r="C19" s="55"/>
      <c r="D19" s="56"/>
      <c r="E19" s="57"/>
      <c r="F19" s="51" t="s">
        <v>27</v>
      </c>
      <c r="G19" s="52">
        <f>AVERAGE(G14:G18)</f>
        <v>0.5127738892329994</v>
      </c>
      <c r="H19" s="53">
        <f>SUM(H14:H18)</f>
        <v>6.068085067388177</v>
      </c>
      <c r="I19" s="53">
        <f>SUM(I14:I18)</f>
        <v>3.632341676082616</v>
      </c>
      <c r="J19" s="54">
        <f>SUM(J14:J18)</f>
        <v>3.4747885122640723</v>
      </c>
    </row>
    <row r="20" spans="2:10" ht="13.5">
      <c r="B20" s="42"/>
      <c r="C20" s="55"/>
      <c r="D20" s="56"/>
      <c r="E20" s="57"/>
      <c r="F20" s="57"/>
      <c r="G20" s="58"/>
      <c r="H20" s="57"/>
      <c r="I20" s="57"/>
      <c r="J20" s="57"/>
    </row>
    <row r="22" spans="2:4" ht="24">
      <c r="B22" s="26" t="s">
        <v>31</v>
      </c>
      <c r="C22" s="1">
        <f>J19</f>
        <v>3.4747885122640723</v>
      </c>
      <c r="D22" t="s">
        <v>28</v>
      </c>
    </row>
    <row r="23" spans="2:4" ht="24">
      <c r="B23" s="26" t="s">
        <v>32</v>
      </c>
      <c r="C23" s="1">
        <f>J19-I19^2/H19</f>
        <v>1.3004771924187186</v>
      </c>
      <c r="D23" t="s">
        <v>29</v>
      </c>
    </row>
    <row r="24" spans="2:4" ht="24">
      <c r="B24" s="26" t="s">
        <v>33</v>
      </c>
      <c r="C24" s="1">
        <f>C22-C23</f>
        <v>2.1743113198453536</v>
      </c>
      <c r="D24" t="s">
        <v>30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J24"/>
  <sheetViews>
    <sheetView zoomScalePageLayoutView="0" workbookViewId="0" topLeftCell="A1">
      <selection activeCell="P34" sqref="P34"/>
    </sheetView>
  </sheetViews>
  <sheetFormatPr defaultColWidth="9.00390625" defaultRowHeight="13.5"/>
  <sheetData>
    <row r="2" ht="14.25" thickBot="1"/>
    <row r="3" spans="2:8" ht="13.5">
      <c r="B3" s="11" t="s">
        <v>1</v>
      </c>
      <c r="C3" s="3"/>
      <c r="D3" s="4" t="s">
        <v>6</v>
      </c>
      <c r="E3" s="5"/>
      <c r="F3" s="3"/>
      <c r="G3" s="4" t="s">
        <v>17</v>
      </c>
      <c r="H3" s="5"/>
    </row>
    <row r="4" spans="2:8" ht="14.25" thickBot="1">
      <c r="B4" s="18" t="s">
        <v>2</v>
      </c>
      <c r="C4" s="19" t="s">
        <v>3</v>
      </c>
      <c r="D4" s="20" t="s">
        <v>4</v>
      </c>
      <c r="E4" s="21" t="s">
        <v>5</v>
      </c>
      <c r="F4" s="19" t="s">
        <v>3</v>
      </c>
      <c r="G4" s="20" t="s">
        <v>4</v>
      </c>
      <c r="H4" s="21" t="s">
        <v>5</v>
      </c>
    </row>
    <row r="5" spans="2:8" ht="13.5">
      <c r="B5" s="14" t="s">
        <v>8</v>
      </c>
      <c r="C5" s="15">
        <v>53</v>
      </c>
      <c r="D5" s="16">
        <v>4</v>
      </c>
      <c r="E5" s="17">
        <f>D5/C5</f>
        <v>0.07547169811320754</v>
      </c>
      <c r="F5" s="15">
        <v>8</v>
      </c>
      <c r="G5" s="16">
        <v>1</v>
      </c>
      <c r="H5" s="17">
        <f>G5/F5</f>
        <v>0.125</v>
      </c>
    </row>
    <row r="6" spans="2:8" ht="13.5">
      <c r="B6" s="12" t="s">
        <v>10</v>
      </c>
      <c r="C6" s="6">
        <v>186</v>
      </c>
      <c r="D6" s="2">
        <v>9</v>
      </c>
      <c r="E6" s="7">
        <f>D6/C6</f>
        <v>0.04838709677419355</v>
      </c>
      <c r="F6" s="6">
        <v>91</v>
      </c>
      <c r="G6" s="2">
        <v>2</v>
      </c>
      <c r="H6" s="7">
        <f>G6/F6</f>
        <v>0.02197802197802198</v>
      </c>
    </row>
    <row r="7" spans="2:8" ht="13.5">
      <c r="B7" s="12" t="s">
        <v>12</v>
      </c>
      <c r="C7" s="6">
        <v>138</v>
      </c>
      <c r="D7" s="2">
        <v>11</v>
      </c>
      <c r="E7" s="7">
        <f>D7/C7</f>
        <v>0.07971014492753623</v>
      </c>
      <c r="F7" s="6">
        <v>31</v>
      </c>
      <c r="G7" s="2">
        <v>1</v>
      </c>
      <c r="H7" s="7">
        <f>G7/F7</f>
        <v>0.03225806451612903</v>
      </c>
    </row>
    <row r="8" spans="2:8" ht="13.5">
      <c r="B8" s="12" t="s">
        <v>14</v>
      </c>
      <c r="C8" s="6">
        <v>39</v>
      </c>
      <c r="D8" s="2">
        <v>7</v>
      </c>
      <c r="E8" s="7">
        <f>D8/C8</f>
        <v>0.1794871794871795</v>
      </c>
      <c r="F8" s="6">
        <v>8</v>
      </c>
      <c r="G8" s="2">
        <v>1</v>
      </c>
      <c r="H8" s="7">
        <f>G8/F8</f>
        <v>0.125</v>
      </c>
    </row>
    <row r="9" spans="2:8" ht="14.25" thickBot="1">
      <c r="B9" s="13" t="s">
        <v>16</v>
      </c>
      <c r="C9" s="8">
        <v>4</v>
      </c>
      <c r="D9" s="9">
        <v>2</v>
      </c>
      <c r="E9" s="10">
        <f>D9/C9</f>
        <v>0.5</v>
      </c>
      <c r="F9" s="8">
        <v>6</v>
      </c>
      <c r="G9" s="9">
        <v>1</v>
      </c>
      <c r="H9" s="10">
        <f>G9/F9</f>
        <v>0.16666666666666666</v>
      </c>
    </row>
    <row r="12" ht="14.25" thickBot="1"/>
    <row r="13" spans="2:10" ht="14.25" thickBot="1">
      <c r="B13" s="41" t="s">
        <v>1</v>
      </c>
      <c r="C13" s="37" t="s">
        <v>39</v>
      </c>
      <c r="D13" s="88" t="s">
        <v>41</v>
      </c>
      <c r="E13" s="41" t="s">
        <v>40</v>
      </c>
      <c r="F13" s="37" t="s">
        <v>42</v>
      </c>
      <c r="G13" s="32" t="s">
        <v>23</v>
      </c>
      <c r="H13" s="32" t="s">
        <v>24</v>
      </c>
      <c r="I13" s="32" t="s">
        <v>25</v>
      </c>
      <c r="J13" s="33" t="s">
        <v>26</v>
      </c>
    </row>
    <row r="14" spans="2:10" ht="13.5">
      <c r="B14" s="14" t="s">
        <v>7</v>
      </c>
      <c r="C14" s="38">
        <f>E5</f>
        <v>0.07547169811320754</v>
      </c>
      <c r="D14" s="89">
        <f>1-C14</f>
        <v>0.9245283018867925</v>
      </c>
      <c r="E14" s="92">
        <f>H5</f>
        <v>0.125</v>
      </c>
      <c r="F14" s="90">
        <f>1-E14</f>
        <v>0.875</v>
      </c>
      <c r="G14" s="29">
        <f>LN(C14*F14/(E14*D14))</f>
        <v>-0.5596157879354228</v>
      </c>
      <c r="H14" s="29">
        <f>C5*F5*C14*D14*E14*F14/((C5*C14*D14)+(F5*E14*F14))</f>
        <v>0.7075812274368231</v>
      </c>
      <c r="I14" s="29">
        <f>G14*H14</f>
        <v>-0.39597362612037135</v>
      </c>
      <c r="J14" s="31">
        <f>H14*G14^2</f>
        <v>0.2215930927829981</v>
      </c>
    </row>
    <row r="15" spans="2:10" ht="13.5">
      <c r="B15" s="12" t="s">
        <v>9</v>
      </c>
      <c r="C15" s="38">
        <f>E6</f>
        <v>0.04838709677419355</v>
      </c>
      <c r="D15" s="89">
        <f>1-C15</f>
        <v>0.9516129032258065</v>
      </c>
      <c r="E15" s="91">
        <f>H6</f>
        <v>0.02197802197802198</v>
      </c>
      <c r="F15" s="90">
        <f>1-E15</f>
        <v>0.978021978021978</v>
      </c>
      <c r="G15" s="29">
        <f>LN(C15*F15/(E15*D15))</f>
        <v>0.8165640339345847</v>
      </c>
      <c r="H15" s="29">
        <f>C6*F6*C15*D15*E15*F15/((C6*C15*D15)+(F6*E15*F15))</f>
        <v>1.5923648432366864</v>
      </c>
      <c r="I15" s="24">
        <f>G15*H15</f>
        <v>1.3002678598889612</v>
      </c>
      <c r="J15" s="27">
        <f>H15*G15^2</f>
        <v>1.0617519688664194</v>
      </c>
    </row>
    <row r="16" spans="2:10" ht="13.5">
      <c r="B16" s="12" t="s">
        <v>11</v>
      </c>
      <c r="C16" s="38">
        <f>E7</f>
        <v>0.07971014492753623</v>
      </c>
      <c r="D16" s="89">
        <f>1-C16</f>
        <v>0.9202898550724637</v>
      </c>
      <c r="E16" s="91">
        <f>H7</f>
        <v>0.03225806451612903</v>
      </c>
      <c r="F16" s="90">
        <f>1-E16</f>
        <v>0.967741935483871</v>
      </c>
      <c r="G16" s="29">
        <f>LN(C16*F16/(E16*D16))</f>
        <v>0.9549055680019347</v>
      </c>
      <c r="H16" s="29">
        <f>C7*F7*C16*D16*E16*F16/((C7*C16*D16)+(F7*E16*F16))</f>
        <v>0.8833013678420131</v>
      </c>
      <c r="I16" s="24">
        <f>G16*H16</f>
        <v>0.8434693943760634</v>
      </c>
      <c r="J16" s="27">
        <f>H16*G16^2</f>
        <v>0.8054336211289226</v>
      </c>
    </row>
    <row r="17" spans="2:10" ht="13.5">
      <c r="B17" s="12" t="s">
        <v>13</v>
      </c>
      <c r="C17" s="38">
        <f>E8</f>
        <v>0.1794871794871795</v>
      </c>
      <c r="D17" s="89">
        <f>1-C17</f>
        <v>0.8205128205128205</v>
      </c>
      <c r="E17" s="91">
        <f>H8</f>
        <v>0.125</v>
      </c>
      <c r="F17" s="90">
        <f>1-E17</f>
        <v>0.875</v>
      </c>
      <c r="G17" s="29">
        <f>LN(C17*F17/(E17*D17))</f>
        <v>0.4260843953109001</v>
      </c>
      <c r="H17" s="29">
        <f>C8*F8*C17*D17*E17*F17/((C8*C17*D17)+(F8*E17*F17))</f>
        <v>0.7593220338983051</v>
      </c>
      <c r="I17" s="24">
        <f>G17*H17</f>
        <v>0.3235352696598021</v>
      </c>
      <c r="J17" s="27">
        <f>H17*G17^2</f>
        <v>0.1378533297347458</v>
      </c>
    </row>
    <row r="18" spans="2:10" ht="14.25" thickBot="1">
      <c r="B18" s="13" t="s">
        <v>15</v>
      </c>
      <c r="C18" s="38">
        <f>E9</f>
        <v>0.5</v>
      </c>
      <c r="D18" s="89">
        <f>1-C18</f>
        <v>0.5</v>
      </c>
      <c r="E18" s="91">
        <f>H9</f>
        <v>0.16666666666666666</v>
      </c>
      <c r="F18" s="90">
        <f>1-E18</f>
        <v>0.8333333333333334</v>
      </c>
      <c r="G18" s="29">
        <f>LN(C18*F18/(E18*D18))</f>
        <v>1.6094379124341005</v>
      </c>
      <c r="H18" s="29">
        <f>C9*F9*C18*D18*E18*F18/((C9*C18*D18)+(F9*E18*F18))</f>
        <v>0.45454545454545453</v>
      </c>
      <c r="I18" s="34">
        <f>G18*H18</f>
        <v>0.7315626874700457</v>
      </c>
      <c r="J18" s="35">
        <f>H18*G18^2</f>
        <v>1.1774047245364707</v>
      </c>
    </row>
    <row r="19" spans="6:10" ht="14.25" thickBot="1">
      <c r="F19" s="36" t="s">
        <v>27</v>
      </c>
      <c r="G19" s="96">
        <f>AVERAGE(G14:G18)</f>
        <v>0.6494752243492194</v>
      </c>
      <c r="H19" s="94">
        <f>SUM(H14:H18)</f>
        <v>4.397114926959282</v>
      </c>
      <c r="I19" s="94">
        <f>SUM(I14:I18)</f>
        <v>2.802861585274501</v>
      </c>
      <c r="J19" s="95">
        <f>SUM(J14:J18)</f>
        <v>3.404036737049557</v>
      </c>
    </row>
    <row r="22" spans="2:4" ht="24">
      <c r="B22" s="26" t="s">
        <v>31</v>
      </c>
      <c r="C22" s="1">
        <f>J19</f>
        <v>3.404036737049557</v>
      </c>
      <c r="D22" t="s">
        <v>28</v>
      </c>
    </row>
    <row r="23" spans="2:4" ht="24">
      <c r="B23" s="26" t="s">
        <v>32</v>
      </c>
      <c r="C23" s="1">
        <f>J19-I19^2/H19</f>
        <v>1.6174031837527962</v>
      </c>
      <c r="D23" t="s">
        <v>29</v>
      </c>
    </row>
    <row r="24" spans="2:4" ht="24">
      <c r="B24" s="26" t="s">
        <v>33</v>
      </c>
      <c r="C24" s="1">
        <f>C22-C23</f>
        <v>1.7866335532967608</v>
      </c>
      <c r="D24" t="s">
        <v>30</v>
      </c>
    </row>
  </sheetData>
  <sheetProtection/>
  <printOptions/>
  <pageMargins left="0.787" right="0.787" top="0.984" bottom="0.984" header="0.512" footer="0.512"/>
  <pageSetup orientation="portrait" paperSize="9"/>
  <ignoredErrors>
    <ignoredError sqref="E14: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 Statistics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kaneseki Masahiro</dc:creator>
  <cp:keywords/>
  <dc:description/>
  <cp:lastModifiedBy>スタット</cp:lastModifiedBy>
  <dcterms:created xsi:type="dcterms:W3CDTF">2004-09-25T02:02:18Z</dcterms:created>
  <dcterms:modified xsi:type="dcterms:W3CDTF">2010-12-24T08:16:55Z</dcterms:modified>
  <cp:category/>
  <cp:version/>
  <cp:contentType/>
  <cp:contentStatus/>
</cp:coreProperties>
</file>